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L:\PESSOAL\30 ELETRÔNICA E SOM\02 ELETRÔNICA\Trafos e Bobinas\"/>
    </mc:Choice>
  </mc:AlternateContent>
  <xr:revisionPtr revIDLastSave="0" documentId="13_ncr:1_{78A136EF-1426-443C-9B70-2F55D37C056D}" xr6:coauthVersionLast="47" xr6:coauthVersionMax="47" xr10:uidLastSave="{00000000-0000-0000-0000-000000000000}"/>
  <workbookProtection workbookAlgorithmName="SHA-512" workbookHashValue="W/bzfSR3YiQ/rG5OiPpg8Eqq6DRqUQJmEoduFAN4CqIN5suhsR4KY1YwZa8AOUbCwqPcOi9gl1apc3b/9OpvTg==" workbookSaltValue="yBN07Ul9XzryPdGFG2DeOQ==" workbookSpinCount="100000" lockStructure="1"/>
  <bookViews>
    <workbookView xWindow="-120" yWindow="-120" windowWidth="29040" windowHeight="15150" xr2:uid="{1F986133-071B-4880-A551-B315E2CB93FF}"/>
  </bookViews>
  <sheets>
    <sheet name="Cálculo tenho o Trafo" sheetId="1" r:id="rId1"/>
    <sheet name="Cálculo não tenho o trafo " sheetId="6" r:id="rId2"/>
    <sheet name="Tab AWG" sheetId="3" r:id="rId3"/>
    <sheet name="Carreteis" sheetId="5" r:id="rId4"/>
    <sheet name="Tab carreteis comerciais Destro" sheetId="7" r:id="rId5"/>
    <sheet name="Lâminas trafos Sj" sheetId="8" r:id="rId6"/>
    <sheet name="Círculo OHM" sheetId="4" r:id="rId7"/>
  </sheets>
  <definedNames>
    <definedName name="AreaNucleoSg">'Cálculo tenho o Trafo'!$C$8</definedName>
    <definedName name="CanalProfParDalton">'Cálculo tenho o Trafo'!$D$11</definedName>
    <definedName name="CorrentePrim">'Cálculo tenho o Trafo'!$B$17</definedName>
    <definedName name="CorrenteSec">'Cálculo tenho o Trafo'!$B$18</definedName>
    <definedName name="CteMag2">'Cálculo tenho o Trafo'!$B$20</definedName>
    <definedName name="CteMg1">'Cálculo tenho o Trafo'!$B$13</definedName>
    <definedName name="DEfinicaoAWGprimario">'Cálculo tenho o Trafo'!$B$27</definedName>
    <definedName name="DEfinicaoAWGsecundario">'Cálculo tenho o Trafo'!$B$28</definedName>
    <definedName name="EmpilhamentoH">'Cálculo tenho o Trafo'!$B$8</definedName>
    <definedName name="NucleoLargura">'Cálculo tenho o Trafo'!$A$8</definedName>
    <definedName name="NumEspirasPrim">'Cálculo tenho o Trafo'!$B$14</definedName>
    <definedName name="NumEspirasSEc">'Cálculo tenho o Trafo'!$B$15</definedName>
    <definedName name="PotNominal">'Cálculo tenho o Trafo'!$B$10</definedName>
    <definedName name="PotPerd22">'Cálculo tenho o Trafo'!$B$11</definedName>
    <definedName name="SecaoFioPrim">'Cálculo tenho o Trafo'!$B$21</definedName>
    <definedName name="SEcaoFioSec">'Cálculo tenho o Trafo'!$B$22</definedName>
    <definedName name="TensaoPrim">'Cálculo tenho o Trafo'!$B$3</definedName>
    <definedName name="TensaoSec">'Cálculo tenho o Trafo'!$B$4</definedName>
    <definedName name="VoltsPorVolta">'Cálculo tenho o Trafo'!$B$24</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30" i="1" l="1"/>
  <c r="B30" i="1"/>
  <c r="H4" i="8"/>
  <c r="H5" i="8"/>
  <c r="H6" i="8"/>
  <c r="H7" i="8"/>
  <c r="H8" i="8"/>
  <c r="H9" i="8"/>
  <c r="H10" i="8"/>
  <c r="H11" i="8"/>
  <c r="H12" i="8"/>
  <c r="H13" i="8"/>
  <c r="H14" i="8"/>
  <c r="H15" i="8"/>
  <c r="H3" i="8"/>
  <c r="B26" i="6"/>
  <c r="F5" i="7"/>
  <c r="E4" i="7"/>
  <c r="C5" i="7"/>
  <c r="D5" i="7"/>
  <c r="E5" i="7"/>
  <c r="C6" i="7"/>
  <c r="D6" i="7"/>
  <c r="E6" i="7"/>
  <c r="F6" i="7"/>
  <c r="C7" i="7"/>
  <c r="D7" i="7"/>
  <c r="E7" i="7"/>
  <c r="F7" i="7"/>
  <c r="D11" i="6"/>
  <c r="E6" i="6"/>
  <c r="F13" i="7"/>
  <c r="E13" i="7"/>
  <c r="D13" i="7"/>
  <c r="C13" i="7"/>
  <c r="B13" i="7"/>
  <c r="A13" i="7"/>
  <c r="F12" i="7"/>
  <c r="E12" i="7"/>
  <c r="D12" i="7"/>
  <c r="C12" i="7"/>
  <c r="B12" i="7"/>
  <c r="A12" i="7"/>
  <c r="F11" i="7"/>
  <c r="E11" i="7"/>
  <c r="D11" i="7"/>
  <c r="C11" i="7"/>
  <c r="B11" i="7"/>
  <c r="A11" i="7"/>
  <c r="F10" i="7"/>
  <c r="E10" i="7"/>
  <c r="D10" i="7"/>
  <c r="C10" i="7"/>
  <c r="B10" i="7"/>
  <c r="A10" i="7"/>
  <c r="F9" i="7"/>
  <c r="E9" i="7"/>
  <c r="D9" i="7"/>
  <c r="C9" i="7"/>
  <c r="B9" i="7"/>
  <c r="A9" i="7"/>
  <c r="F8" i="7"/>
  <c r="E8" i="7"/>
  <c r="D8" i="7"/>
  <c r="C8" i="7"/>
  <c r="B8" i="7"/>
  <c r="A8" i="7"/>
  <c r="B7" i="7"/>
  <c r="A7" i="7"/>
  <c r="B6" i="7"/>
  <c r="A6" i="7"/>
  <c r="B5" i="7"/>
  <c r="A5" i="7"/>
  <c r="F4" i="7"/>
  <c r="D4" i="7"/>
  <c r="C4" i="7"/>
  <c r="B4" i="7"/>
  <c r="A4" i="7"/>
  <c r="F3" i="7"/>
  <c r="E3" i="7"/>
  <c r="D3" i="7"/>
  <c r="C3" i="7"/>
  <c r="B3" i="7"/>
  <c r="A3" i="7"/>
  <c r="F2" i="7"/>
  <c r="E2" i="7"/>
  <c r="D2" i="7"/>
  <c r="C2" i="7"/>
  <c r="B2" i="7"/>
  <c r="A2" i="7"/>
  <c r="G8" i="1"/>
  <c r="C8" i="1"/>
  <c r="B15" i="1" s="1"/>
  <c r="B9" i="6"/>
  <c r="B10" i="6" s="1"/>
  <c r="B10" i="1"/>
  <c r="B11" i="1" s="1"/>
  <c r="B25" i="1" l="1"/>
  <c r="C32" i="1"/>
  <c r="D6" i="6"/>
  <c r="D7" i="6" s="1"/>
  <c r="B22" i="6" s="1"/>
  <c r="B23" i="6" s="1"/>
  <c r="D5" i="6"/>
  <c r="B11" i="6" s="1"/>
  <c r="B13" i="6" s="1"/>
  <c r="B15" i="6" s="1"/>
  <c r="F11" i="6"/>
  <c r="E25" i="1"/>
  <c r="B14" i="1"/>
  <c r="B18" i="1"/>
  <c r="B17" i="1"/>
  <c r="C31" i="1" l="1"/>
  <c r="B18" i="6"/>
  <c r="B17" i="6"/>
  <c r="B12" i="6"/>
  <c r="B14" i="6" s="1"/>
  <c r="B16" i="6" s="1"/>
  <c r="C22" i="6"/>
  <c r="C24" i="6" s="1"/>
  <c r="H8" i="1"/>
  <c r="E24" i="1"/>
  <c r="I8" i="1"/>
  <c r="B22" i="1"/>
  <c r="E22" i="1" s="1"/>
  <c r="B28" i="1" s="1"/>
  <c r="B21" i="1"/>
  <c r="E21" i="1" s="1"/>
  <c r="B27" i="1" s="1"/>
  <c r="B24" i="1"/>
  <c r="B29" i="1" l="1"/>
  <c r="B19" i="6"/>
  <c r="B20" i="6"/>
  <c r="E11" i="6"/>
  <c r="G10" i="1"/>
  <c r="B27" i="6" l="1"/>
  <c r="C27"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DALTON CAMPOS ROQUE</author>
  </authors>
  <commentList>
    <comment ref="B25" authorId="0" shapeId="0" xr:uid="{756B0998-1DD7-4D47-A2CE-5043EB2C4C34}">
      <text>
        <r>
          <rPr>
            <b/>
            <sz val="12"/>
            <color indexed="81"/>
            <rFont val="Segoe UI"/>
            <family val="2"/>
          </rPr>
          <t>@pardalton:
Olhe na planilha Lâminas trafos Sj</t>
        </r>
        <r>
          <rPr>
            <sz val="9"/>
            <color indexed="81"/>
            <rFont val="Segoe UI"/>
            <family val="2"/>
          </rPr>
          <t xml:space="preserve">
</t>
        </r>
      </text>
    </comment>
    <comment ref="C27" authorId="0" shapeId="0" xr:uid="{085EF38D-1FFD-4807-B7E5-7B4C4046B6A0}">
      <text>
        <r>
          <rPr>
            <b/>
            <sz val="12"/>
            <color indexed="81"/>
            <rFont val="Segoe UI"/>
            <family val="2"/>
          </rPr>
          <t>@pardalton:
A relação de Sfios dividido por Sjanela tem que ser maior ou igual a 3 para ser possível enrolar o trafo.</t>
        </r>
      </text>
    </comment>
  </commentList>
</comments>
</file>

<file path=xl/sharedStrings.xml><?xml version="1.0" encoding="utf-8"?>
<sst xmlns="http://schemas.openxmlformats.org/spreadsheetml/2006/main" count="284" uniqueCount="250">
  <si>
    <t>Tensão de entrada Ep (volts):</t>
  </si>
  <si>
    <t>Tensão de saída Es (volts)</t>
  </si>
  <si>
    <t>Potência nominal (Watts):</t>
  </si>
  <si>
    <t>Potência perda 22% (Watts):</t>
  </si>
  <si>
    <t>Seção do núcleo (cm):</t>
  </si>
  <si>
    <t>Número espiras primário Np:</t>
  </si>
  <si>
    <t>Número espiras secundário Ns:</t>
  </si>
  <si>
    <t>Empilhamento H</t>
  </si>
  <si>
    <t>Corrente primário Ip (A):</t>
  </si>
  <si>
    <t>Corrente secundário Is (A):</t>
  </si>
  <si>
    <t>Seção do fio do primário Sp:</t>
  </si>
  <si>
    <t>Watts</t>
  </si>
  <si>
    <t>Seção do fio do secundário Ss:</t>
  </si>
  <si>
    <t>Volts por volta primário:</t>
  </si>
  <si>
    <t>Volts por volta secundário:</t>
  </si>
  <si>
    <t>Primário Fio AWG:</t>
  </si>
  <si>
    <t>https://www.youtube.com/@professorpardalton</t>
  </si>
  <si>
    <t>Gambiarras</t>
  </si>
  <si>
    <t>https://www.youtube.com/@publiqueseulivrogratis</t>
  </si>
  <si>
    <t>Livros</t>
  </si>
  <si>
    <t>https://www.youtube.com/@daltonroque</t>
  </si>
  <si>
    <t>https://www.youtube.com/@universalismoramatis</t>
  </si>
  <si>
    <t>Site 2</t>
  </si>
  <si>
    <t>Site 1</t>
  </si>
  <si>
    <t>&lt;= Número aproximado AWG</t>
  </si>
  <si>
    <t>https://seulivropublicado.com.br</t>
  </si>
  <si>
    <t>https://consciencial.org</t>
  </si>
  <si>
    <t>Mais seguro arredondar para menor (mais grosso). Porém, se o trafo for de uso eventual, deve-se arredondar para número maior (mais fino).</t>
  </si>
  <si>
    <t>Constante Mag 2</t>
  </si>
  <si>
    <t>Constante Mag 1</t>
  </si>
  <si>
    <t>https://www.youtube.com/@oficinatemmilmacetes</t>
  </si>
  <si>
    <t>http://oncoto.org/arquivos/awg_definitivo.pdf</t>
  </si>
  <si>
    <t xml:space="preserve">Super dica de página que calcula trafos automaticamente, mas ainda assim, confio mais no meu cálculo manual que trabalha com muito mais margem de segurança. Para você ter uma ideia, meu cálculo, num certo trafo deu fios 20 no primário e 19 no secundário, nesta página ambos resultaram na bitola AWG 21, tanto para o primário, quanto para o secundário. Aconselho que faça testes e comparações, mas o cálculo me parece excelente também. Site: </t>
  </si>
  <si>
    <t>http://www.py2bbs.qsl.br/calc_transf.php</t>
  </si>
  <si>
    <t>Eu sou o Professor ParDalton, autor desta planilha. Pode baixar e distribuir a vontade, farei outras melhores ainda, todas de graça:</t>
  </si>
  <si>
    <r>
      <t>Área núcleo Sg (cm</t>
    </r>
    <r>
      <rPr>
        <b/>
        <vertAlign val="superscript"/>
        <sz val="11"/>
        <color theme="1"/>
        <rFont val="Calibri"/>
        <family val="2"/>
        <scheme val="minor"/>
      </rPr>
      <t>2</t>
    </r>
    <r>
      <rPr>
        <b/>
        <sz val="11"/>
        <color theme="1"/>
        <rFont val="Calibri"/>
        <family val="2"/>
        <scheme val="minor"/>
      </rPr>
      <t>)</t>
    </r>
  </si>
  <si>
    <t>Largura central L</t>
  </si>
  <si>
    <t>Instruções =&gt;</t>
  </si>
  <si>
    <t>CÁLCULO DE TRAFO MONOFÁSICO - 1 PRIMÁRIO  n TAPS + 1 SECUNDÁRIO n TAPs</t>
  </si>
  <si>
    <t>voltas ou espiras</t>
  </si>
  <si>
    <t>Amperes no primário</t>
  </si>
  <si>
    <t>Amperes no secundário</t>
  </si>
  <si>
    <t>Diâmetro Fio primário Ø (mm):</t>
  </si>
  <si>
    <t>Diâmetro Fio secundário Ø (mm):</t>
  </si>
  <si>
    <t>Volts por espira</t>
  </si>
  <si>
    <t>https://www.youtube.com/watch?v=Yb_1FRnlCO4&amp;list=PLO5gEaTNW_82c-o-45uq5F_m64LhEcwHn&amp;index=6&amp;ab_channel=OficinaTemMilMacetes</t>
  </si>
  <si>
    <t>Os raciocínios e fórmulas de cálculo do trafo foram do parceiro Alexandre (super experiente e criativo), do Canal Oficina Tem Mil Macetes. Vou postar o vídeo exato de onde retirei os cálculos e as constantes para montar esta planilha EP168:</t>
  </si>
  <si>
    <t>Link para baixar Tabela de Fios Esmaltados AWG em formato muito bom:</t>
  </si>
  <si>
    <t>https://www.professorpetry.com.br/Ensino/Projeto_Indutores/Tabela_de_fios_esmaltados.pdf</t>
  </si>
  <si>
    <t>Cuidado: A 1ª coluna de diâmetros é em POLEGADA!</t>
  </si>
  <si>
    <t>Ramatís</t>
  </si>
  <si>
    <t>Espiritualidade sem religião</t>
  </si>
  <si>
    <t>Eu sou Dalton Campos Roque, Eng. Civil aposentado, curto rock progressivo e música new age, ex-professor de informática e atual escritor e editor das próprias obras conscienciais. Meus canais no Youtube são:</t>
  </si>
  <si>
    <t>CARRETEIS COMERCIAIS PARA TRANSFORMADORES</t>
  </si>
  <si>
    <t xml:space="preserve">CARRETEIS </t>
  </si>
  <si>
    <t>Nº ESPIRAS / VOLT</t>
  </si>
  <si>
    <t>ESPIRAS DO PRIMÁRIO</t>
  </si>
  <si>
    <t>FIO</t>
  </si>
  <si>
    <t>Seção Quadrada - cm2</t>
  </si>
  <si>
    <t>POTÊNCIA</t>
  </si>
  <si>
    <t>10 X 10 ST/PT</t>
  </si>
  <si>
    <t>3000 / 3000</t>
  </si>
  <si>
    <t>1 W</t>
  </si>
  <si>
    <t>10 X 15 ST/PT</t>
  </si>
  <si>
    <t>2200 / 2200</t>
  </si>
  <si>
    <t>1,5 W</t>
  </si>
  <si>
    <t>13 X 13 ST/PT</t>
  </si>
  <si>
    <t>2000 / 2000</t>
  </si>
  <si>
    <t>3 W</t>
  </si>
  <si>
    <t>13 X 20 ST/PT</t>
  </si>
  <si>
    <t>1600 / 1600</t>
  </si>
  <si>
    <t>4 W</t>
  </si>
  <si>
    <t>16 X 16 ST/PT</t>
  </si>
  <si>
    <t>16 X 22 ST/PT</t>
  </si>
  <si>
    <t>1250 / 1250</t>
  </si>
  <si>
    <t>8 W</t>
  </si>
  <si>
    <t>20 X 20 ST</t>
  </si>
  <si>
    <t>1100 / 1000</t>
  </si>
  <si>
    <t>9 W</t>
  </si>
  <si>
    <t>20 X 22 PT</t>
  </si>
  <si>
    <t>1000 / 1000</t>
  </si>
  <si>
    <t>10 W</t>
  </si>
  <si>
    <t>22 X 22 ST</t>
  </si>
  <si>
    <t>880 / 880</t>
  </si>
  <si>
    <t>15 W</t>
  </si>
  <si>
    <t>22 X 25 PT</t>
  </si>
  <si>
    <t>770 / 770</t>
  </si>
  <si>
    <t>20 W</t>
  </si>
  <si>
    <t>22 X 30 PT</t>
  </si>
  <si>
    <t>660 / 660</t>
  </si>
  <si>
    <t>30 W</t>
  </si>
  <si>
    <t>25 X 25 ST/PT</t>
  </si>
  <si>
    <t>25 X 32 ST/PT</t>
  </si>
  <si>
    <t>550 / 550</t>
  </si>
  <si>
    <t>50 W</t>
  </si>
  <si>
    <t>28 X 28 ST</t>
  </si>
  <si>
    <t>60 W</t>
  </si>
  <si>
    <t>28 X 38 ST</t>
  </si>
  <si>
    <t>440 / 440</t>
  </si>
  <si>
    <t>100 W</t>
  </si>
  <si>
    <t>28 X 42 PT</t>
  </si>
  <si>
    <t>400 / 400</t>
  </si>
  <si>
    <t>120 W</t>
  </si>
  <si>
    <t>32 X 32 ST</t>
  </si>
  <si>
    <t xml:space="preserve">440 / 440 </t>
  </si>
  <si>
    <t>32 X 50 ST</t>
  </si>
  <si>
    <t>280 / 280</t>
  </si>
  <si>
    <t>150 W</t>
  </si>
  <si>
    <t>32 X 51 PT</t>
  </si>
  <si>
    <t>270 / 270</t>
  </si>
  <si>
    <t>38 X 38 ST</t>
  </si>
  <si>
    <t>320 / 320</t>
  </si>
  <si>
    <t>200 W</t>
  </si>
  <si>
    <t>38 X 55 ST/PT</t>
  </si>
  <si>
    <t>220 / 220</t>
  </si>
  <si>
    <t>300 W</t>
  </si>
  <si>
    <t>45 X 70 ST</t>
  </si>
  <si>
    <t>150 / 150</t>
  </si>
  <si>
    <t>500 W</t>
  </si>
  <si>
    <t>50 X 50 ST</t>
  </si>
  <si>
    <t>176 / 176</t>
  </si>
  <si>
    <t>400 W</t>
  </si>
  <si>
    <t>50 X 80 ST</t>
  </si>
  <si>
    <t>110 / 110</t>
  </si>
  <si>
    <t>1000 W</t>
  </si>
  <si>
    <t>60 X 60 ST</t>
  </si>
  <si>
    <t>125 / 125</t>
  </si>
  <si>
    <t>800 W</t>
  </si>
  <si>
    <t>60 X 90 ST</t>
  </si>
  <si>
    <t>83 / 83</t>
  </si>
  <si>
    <t>1500 W</t>
  </si>
  <si>
    <t>Página excelente com noção básica e geral de trafos do Instituto Newton Braga:</t>
  </si>
  <si>
    <t>https://www.newtoncbraga.com.br/index.php/iot/52-artigos-tecnicos/artigos-diversos/10414-enrolamento-de-pequenos-transformadores-e-bobinas-art2369.html</t>
  </si>
  <si>
    <t>Ambas são a mesma tabela mostrando dados diferentes</t>
  </si>
  <si>
    <t>Vp / Vs</t>
  </si>
  <si>
    <t>Np / Ns</t>
  </si>
  <si>
    <t>Is / Ip</t>
  </si>
  <si>
    <t>Conferindo o Trafo</t>
  </si>
  <si>
    <t>Mais seguro arredondar para valor menor (fio mais grosso). Porém, se o trafo for de uso eventual, deve-se arredondar para número maior (fio mais fino).</t>
  </si>
  <si>
    <r>
      <rPr>
        <b/>
        <sz val="22"/>
        <color rgb="FFFF0000"/>
        <rFont val="Calibri"/>
        <family val="2"/>
        <scheme val="minor"/>
      </rPr>
      <t>Dimensões</t>
    </r>
    <r>
      <rPr>
        <b/>
        <sz val="22"/>
        <color theme="1"/>
        <rFont val="Calibri"/>
        <family val="2"/>
        <scheme val="minor"/>
      </rPr>
      <t xml:space="preserve"> Carreteis Comerciais </t>
    </r>
    <r>
      <rPr>
        <b/>
        <sz val="22"/>
        <color rgb="FFFF0000"/>
        <rFont val="Calibri"/>
        <family val="2"/>
        <scheme val="minor"/>
      </rPr>
      <t>mm x mm</t>
    </r>
  </si>
  <si>
    <t>mm x mm</t>
  </si>
  <si>
    <r>
      <t>cm</t>
    </r>
    <r>
      <rPr>
        <b/>
        <vertAlign val="superscript"/>
        <sz val="22"/>
        <color rgb="FFFF0000"/>
        <rFont val="Calibri"/>
        <family val="2"/>
        <scheme val="minor"/>
      </rPr>
      <t>2</t>
    </r>
  </si>
  <si>
    <t>As posições das células estão correlacionadas.</t>
  </si>
  <si>
    <t>V1 / V2</t>
  </si>
  <si>
    <t>N1 / N2</t>
  </si>
  <si>
    <t>Onde comprar carreteis:</t>
  </si>
  <si>
    <t>https://www.ricabens.com.br/carreteis-para-transformadores.php</t>
  </si>
  <si>
    <t>https://www.sarloplasticos.com.br/carreteis</t>
  </si>
  <si>
    <t>https://www.cswsp.com.br/</t>
  </si>
  <si>
    <t>https://lista.mercadolivre.com.br/carretel-pl%C3%A1tico-transformadores#D[A:carretel%20pl%C3%A1tico%20transformadores]</t>
  </si>
  <si>
    <r>
      <rPr>
        <b/>
        <sz val="22"/>
        <color rgb="FF0070C0"/>
        <rFont val="Calibri"/>
        <family val="2"/>
        <scheme val="minor"/>
      </rPr>
      <t>Conferindo o Trafo</t>
    </r>
    <r>
      <rPr>
        <b/>
        <sz val="22"/>
        <color theme="1"/>
        <rFont val="Calibri"/>
        <family val="2"/>
        <scheme val="minor"/>
      </rPr>
      <t xml:space="preserve"> - Os 3 valores têm que estar bem próximos.</t>
    </r>
  </si>
  <si>
    <t>As fórmulas de conversão para o número AWG foram do site abaixo - conferi na tabela AWG no sistema métrico e deu muito certo. Meus agradecimentos ao Jefferson, que me parece ser uma pessoa muito inteligente - jefferson@oncoto.org - Nota: pelo jeito ele é mineiro, mas como eu também sou, então pergunto: oncocetá?</t>
  </si>
  <si>
    <t>Espiras por volt primário</t>
  </si>
  <si>
    <t>Espiras por volt secundário</t>
  </si>
  <si>
    <t>Diâmetro Fio primário Ø (mm) =&gt;</t>
  </si>
  <si>
    <t>Diâmetro Fio secundário Ø (mm) =&gt;</t>
  </si>
  <si>
    <t>Secundário Fio AWG:</t>
  </si>
  <si>
    <t>I2 / I1</t>
  </si>
  <si>
    <t>VA</t>
  </si>
  <si>
    <t>Frequência da rede:</t>
  </si>
  <si>
    <r>
      <t>Tensão de entrada - Primário V</t>
    </r>
    <r>
      <rPr>
        <vertAlign val="subscript"/>
        <sz val="16"/>
        <color theme="1"/>
        <rFont val="Calibri"/>
        <family val="2"/>
        <scheme val="minor"/>
      </rPr>
      <t>1</t>
    </r>
    <r>
      <rPr>
        <sz val="16"/>
        <color theme="1"/>
        <rFont val="Calibri"/>
        <family val="2"/>
        <scheme val="minor"/>
      </rPr>
      <t xml:space="preserve"> (volts):</t>
    </r>
  </si>
  <si>
    <r>
      <t>Tensão de saída - Secundário V</t>
    </r>
    <r>
      <rPr>
        <vertAlign val="subscript"/>
        <sz val="16"/>
        <color theme="1"/>
        <rFont val="Calibri"/>
        <family val="2"/>
        <scheme val="minor"/>
      </rPr>
      <t>2</t>
    </r>
    <r>
      <rPr>
        <sz val="16"/>
        <color theme="1"/>
        <rFont val="Calibri"/>
        <family val="2"/>
        <scheme val="minor"/>
      </rPr>
      <t xml:space="preserve"> (volts):</t>
    </r>
  </si>
  <si>
    <r>
      <t>Corrente de saída desejada em Amperes I</t>
    </r>
    <r>
      <rPr>
        <vertAlign val="subscript"/>
        <sz val="16"/>
        <color theme="1"/>
        <rFont val="Calibri"/>
        <family val="2"/>
        <scheme val="minor"/>
      </rPr>
      <t>2</t>
    </r>
    <r>
      <rPr>
        <sz val="16"/>
        <color theme="1"/>
        <rFont val="Calibri"/>
        <family val="2"/>
        <scheme val="minor"/>
      </rPr>
      <t>:</t>
    </r>
  </si>
  <si>
    <t>Capacidade magnética das placas B:</t>
  </si>
  <si>
    <r>
      <t>Potência nominal P</t>
    </r>
    <r>
      <rPr>
        <vertAlign val="subscript"/>
        <sz val="16"/>
        <color theme="1"/>
        <rFont val="Calibri"/>
        <family val="2"/>
        <scheme val="minor"/>
      </rPr>
      <t>1</t>
    </r>
    <r>
      <rPr>
        <sz val="16"/>
        <color theme="1"/>
        <rFont val="Calibri"/>
        <family val="2"/>
        <scheme val="minor"/>
      </rPr>
      <t>:</t>
    </r>
  </si>
  <si>
    <r>
      <t>mm</t>
    </r>
    <r>
      <rPr>
        <vertAlign val="superscript"/>
        <sz val="16"/>
        <color theme="1"/>
        <rFont val="Calibri"/>
        <family val="2"/>
        <scheme val="minor"/>
      </rPr>
      <t>2</t>
    </r>
  </si>
  <si>
    <r>
      <t>Seção do fio primário S</t>
    </r>
    <r>
      <rPr>
        <vertAlign val="subscript"/>
        <sz val="18"/>
        <color theme="1"/>
        <rFont val="Calibri"/>
        <family val="2"/>
        <scheme val="minor"/>
      </rPr>
      <t>2</t>
    </r>
    <r>
      <rPr>
        <sz val="18"/>
        <color theme="1"/>
        <rFont val="Calibri"/>
        <family val="2"/>
        <scheme val="minor"/>
      </rPr>
      <t>:</t>
    </r>
  </si>
  <si>
    <r>
      <t>Seção do fio secundário S</t>
    </r>
    <r>
      <rPr>
        <vertAlign val="subscript"/>
        <sz val="18"/>
        <color theme="1"/>
        <rFont val="Calibri"/>
        <family val="2"/>
        <scheme val="minor"/>
      </rPr>
      <t>2</t>
    </r>
    <r>
      <rPr>
        <sz val="18"/>
        <color theme="1"/>
        <rFont val="Calibri"/>
        <family val="2"/>
        <scheme val="minor"/>
      </rPr>
      <t>:</t>
    </r>
  </si>
  <si>
    <t>Número AWG secundário:</t>
  </si>
  <si>
    <t>Número AWG primário:</t>
  </si>
  <si>
    <t>mm</t>
  </si>
  <si>
    <t>Primário(s)</t>
  </si>
  <si>
    <t>Secundário(s)</t>
  </si>
  <si>
    <t>&lt;== Confira na tabela AWG</t>
  </si>
  <si>
    <r>
      <t>Este cálculo é para quem quer calcular um pequeno trafo monofásico isolado do zero. No máximo 2 primários e 2 secundários.</t>
    </r>
    <r>
      <rPr>
        <b/>
        <sz val="20"/>
        <color theme="1"/>
        <rFont val="Calibri"/>
        <family val="2"/>
        <scheme val="minor"/>
      </rPr>
      <t xml:space="preserve"> </t>
    </r>
    <r>
      <rPr>
        <b/>
        <sz val="20"/>
        <color rgb="FFFF0000"/>
        <rFont val="Calibri"/>
        <family val="2"/>
        <scheme val="minor"/>
      </rPr>
      <t>ATENÇÃO:</t>
    </r>
    <r>
      <rPr>
        <b/>
        <sz val="20"/>
        <color theme="1"/>
        <rFont val="Calibri"/>
        <family val="2"/>
        <scheme val="minor"/>
      </rPr>
      <t xml:space="preserve"> Inserir os DADOS de seu trafo APENAS nos campos AMARELOS.</t>
    </r>
    <r>
      <rPr>
        <b/>
        <sz val="14"/>
        <color rgb="FFFF0000"/>
        <rFont val="Calibri"/>
        <family val="2"/>
        <scheme val="minor"/>
      </rPr>
      <t xml:space="preserve"> Não digitar ou alterar nenhum outro campo!!!</t>
    </r>
    <r>
      <rPr>
        <b/>
        <sz val="11"/>
        <color theme="1"/>
        <rFont val="Calibri"/>
        <family val="2"/>
        <scheme val="minor"/>
      </rPr>
      <t/>
    </r>
  </si>
  <si>
    <r>
      <t>Potência nominal P</t>
    </r>
    <r>
      <rPr>
        <vertAlign val="subscript"/>
        <sz val="16"/>
        <color theme="1"/>
        <rFont val="Calibri"/>
        <family val="2"/>
        <scheme val="minor"/>
      </rPr>
      <t>2</t>
    </r>
    <r>
      <rPr>
        <sz val="16"/>
        <color theme="1"/>
        <rFont val="Calibri"/>
        <family val="2"/>
        <scheme val="minor"/>
      </rPr>
      <t>:</t>
    </r>
  </si>
  <si>
    <r>
      <t>Número de espiras primário N</t>
    </r>
    <r>
      <rPr>
        <vertAlign val="subscript"/>
        <sz val="18"/>
        <color theme="1"/>
        <rFont val="Calibri"/>
        <family val="2"/>
        <scheme val="minor"/>
      </rPr>
      <t>1</t>
    </r>
    <r>
      <rPr>
        <sz val="18"/>
        <color theme="1"/>
        <rFont val="Calibri"/>
        <family val="2"/>
        <scheme val="minor"/>
      </rPr>
      <t>:</t>
    </r>
  </si>
  <si>
    <r>
      <t>Número de espiras secundário N</t>
    </r>
    <r>
      <rPr>
        <vertAlign val="subscript"/>
        <sz val="18"/>
        <color theme="1"/>
        <rFont val="Calibri"/>
        <family val="2"/>
        <scheme val="minor"/>
      </rPr>
      <t>2</t>
    </r>
    <r>
      <rPr>
        <sz val="18"/>
        <color theme="1"/>
        <rFont val="Calibri"/>
        <family val="2"/>
        <scheme val="minor"/>
      </rPr>
      <t>:</t>
    </r>
  </si>
  <si>
    <r>
      <t>Seção Magnética Sm (cm</t>
    </r>
    <r>
      <rPr>
        <vertAlign val="superscript"/>
        <sz val="14"/>
        <color theme="1"/>
        <rFont val="Calibri"/>
        <family val="2"/>
        <scheme val="minor"/>
      </rPr>
      <t>2</t>
    </r>
    <r>
      <rPr>
        <sz val="14"/>
        <color theme="1"/>
        <rFont val="Calibri"/>
        <family val="2"/>
        <scheme val="minor"/>
      </rPr>
      <t>):</t>
    </r>
  </si>
  <si>
    <r>
      <t>Seção Geométrica Sg (cm</t>
    </r>
    <r>
      <rPr>
        <vertAlign val="superscript"/>
        <sz val="14"/>
        <color theme="1"/>
        <rFont val="Calibri"/>
        <family val="2"/>
        <scheme val="minor"/>
      </rPr>
      <t>2</t>
    </r>
    <r>
      <rPr>
        <sz val="14"/>
        <color theme="1"/>
        <rFont val="Calibri"/>
        <family val="2"/>
        <scheme val="minor"/>
      </rPr>
      <t>):</t>
    </r>
  </si>
  <si>
    <r>
      <t>Voltas N</t>
    </r>
    <r>
      <rPr>
        <vertAlign val="subscript"/>
        <sz val="16"/>
        <color theme="1"/>
        <rFont val="Calibri"/>
        <family val="2"/>
        <scheme val="minor"/>
      </rPr>
      <t>1</t>
    </r>
  </si>
  <si>
    <r>
      <t>Voltas N</t>
    </r>
    <r>
      <rPr>
        <vertAlign val="subscript"/>
        <sz val="16"/>
        <color theme="1"/>
        <rFont val="Calibri"/>
        <family val="2"/>
        <scheme val="minor"/>
      </rPr>
      <t>2</t>
    </r>
    <r>
      <rPr>
        <sz val="11"/>
        <color theme="1"/>
        <rFont val="Calibri"/>
        <family val="2"/>
        <scheme val="minor"/>
      </rPr>
      <t/>
    </r>
  </si>
  <si>
    <r>
      <t>Multiplicador de P</t>
    </r>
    <r>
      <rPr>
        <vertAlign val="subscript"/>
        <sz val="12"/>
        <color theme="1"/>
        <rFont val="Calibri"/>
        <family val="2"/>
        <scheme val="minor"/>
      </rPr>
      <t>2</t>
    </r>
    <r>
      <rPr>
        <sz val="12"/>
        <color theme="1"/>
        <rFont val="Calibri"/>
        <family val="2"/>
        <scheme val="minor"/>
      </rPr>
      <t xml:space="preserve"> para Sm</t>
    </r>
  </si>
  <si>
    <t>Calculando a área A x B do núcleo E I</t>
  </si>
  <si>
    <t>LADO A em cm:</t>
  </si>
  <si>
    <r>
      <t>mm</t>
    </r>
    <r>
      <rPr>
        <vertAlign val="superscript"/>
        <sz val="18"/>
        <color theme="1"/>
        <rFont val="Calibri"/>
        <family val="2"/>
        <scheme val="minor"/>
      </rPr>
      <t>2</t>
    </r>
  </si>
  <si>
    <t>Se os 3 valores sestiverem próximos o transformador está ok.</t>
  </si>
  <si>
    <t>CÁLCULO DE TRAFO MONOFÁSICO INICIANDO DO ZERO ATÉ 1000 W - até 2 derivações no Primário e/ou Secundário</t>
  </si>
  <si>
    <t>Catálogo de chapas, link abaixo:</t>
  </si>
  <si>
    <t>https://tessinminas.com.br/wp-content/uploads/2019/12/lamina-transformadores.pdf</t>
  </si>
  <si>
    <t>Montado por Dalton C. Roque baseando-se no Canal Electrolab. Link abaixo:</t>
  </si>
  <si>
    <t>https://www.youtube.com/@Electrolab-Eletronica</t>
  </si>
  <si>
    <t>Quantos primários você deseja? 1 ou 2 ? =&gt;</t>
  </si>
  <si>
    <t>Quantos secundários você deseja? 1 ou 2 ? =&gt;</t>
  </si>
  <si>
    <r>
      <t>Densidade de corrente para este trafo A / mm</t>
    </r>
    <r>
      <rPr>
        <vertAlign val="superscript"/>
        <sz val="14"/>
        <color theme="1"/>
        <rFont val="Calibri"/>
        <family val="2"/>
        <scheme val="minor"/>
      </rPr>
      <t xml:space="preserve">2 </t>
    </r>
    <r>
      <rPr>
        <sz val="14"/>
        <color theme="1"/>
        <rFont val="Calibri"/>
        <family val="2"/>
        <scheme val="minor"/>
      </rPr>
      <t>=&gt;</t>
    </r>
  </si>
  <si>
    <t xml:space="preserve">  &lt;= Subdividir em quantos taps quiser. Trabalhe com a tensão total p efeito de cálculo.</t>
  </si>
  <si>
    <r>
      <t>Possibilidade de construção Sj / S</t>
    </r>
    <r>
      <rPr>
        <vertAlign val="subscript"/>
        <sz val="17"/>
        <color theme="1"/>
        <rFont val="Calibri"/>
        <family val="2"/>
        <scheme val="minor"/>
      </rPr>
      <t>fios</t>
    </r>
    <r>
      <rPr>
        <sz val="17"/>
        <color theme="1"/>
        <rFont val="Calibri"/>
        <family val="2"/>
        <scheme val="minor"/>
      </rPr>
      <t xml:space="preserve"> &gt;=3</t>
    </r>
  </si>
  <si>
    <r>
      <t>mm</t>
    </r>
    <r>
      <rPr>
        <b/>
        <vertAlign val="superscript"/>
        <sz val="12"/>
        <color theme="1"/>
        <rFont val="Calibri"/>
        <family val="2"/>
        <scheme val="minor"/>
      </rPr>
      <t xml:space="preserve">2 </t>
    </r>
    <r>
      <rPr>
        <b/>
        <sz val="12"/>
        <color theme="1"/>
        <rFont val="Calibri"/>
        <family val="2"/>
        <scheme val="minor"/>
      </rPr>
      <t>=&gt; vide tabela AWG</t>
    </r>
  </si>
  <si>
    <r>
      <t>mm</t>
    </r>
    <r>
      <rPr>
        <b/>
        <vertAlign val="superscript"/>
        <sz val="12"/>
        <color theme="1"/>
        <rFont val="Calibri"/>
        <family val="2"/>
        <scheme val="minor"/>
      </rPr>
      <t>2</t>
    </r>
    <r>
      <rPr>
        <b/>
        <sz val="12"/>
        <color theme="1"/>
        <rFont val="Calibri"/>
        <family val="2"/>
        <scheme val="minor"/>
      </rPr>
      <t xml:space="preserve"> =&gt; vide tabela AWG</t>
    </r>
  </si>
  <si>
    <t>ST - sem terminais  /   PT - para terminais</t>
  </si>
  <si>
    <t>O trafo não precisa ser quadrado. Você pode definir A e obter B (à direita da celula amarela). Digite o tamanho de A desejado =&gt;</t>
  </si>
  <si>
    <t>Comprimento do primário em metros:</t>
  </si>
  <si>
    <t>Comprimento do secundário em metros:</t>
  </si>
  <si>
    <t>Comprimento aproximado do primário em metros:</t>
  </si>
  <si>
    <t>Comprimento aproximado do secundário em metros:</t>
  </si>
  <si>
    <t>Planilha gentilemente cedida por Alexandre do Canal OFICINA TEM MIL MACETES:</t>
  </si>
  <si>
    <t>Curso de transformadores:</t>
  </si>
  <si>
    <t>https://www.youtube.com/watch?v=nD051vOFTCs&amp;list=PLO5gEaTNW_82c-o-45uq5F_m64LhEcwHn&amp;ab_channel=OficinaTemMilMacetes</t>
  </si>
  <si>
    <r>
      <t xml:space="preserve">Este cálculo é para quem já tem um trafo em casa e deseja aproveitá-lo. Insira os DADOS de seu trafo APENAS nos campos AMARELOS. Todas as respostas estão em </t>
    </r>
    <r>
      <rPr>
        <b/>
        <sz val="12"/>
        <color rgb="FFC00000"/>
        <rFont val="Calibri"/>
        <family val="2"/>
        <scheme val="minor"/>
      </rPr>
      <t>vermelho.</t>
    </r>
    <r>
      <rPr>
        <b/>
        <sz val="11"/>
        <color theme="1"/>
        <rFont val="Calibri"/>
        <family val="2"/>
        <scheme val="minor"/>
      </rPr>
      <t xml:space="preserve"> Consideramos 3A / mm</t>
    </r>
    <r>
      <rPr>
        <b/>
        <vertAlign val="superscript"/>
        <sz val="11"/>
        <color theme="1"/>
        <rFont val="Calibri"/>
        <family val="2"/>
        <scheme val="minor"/>
      </rPr>
      <t>2</t>
    </r>
    <r>
      <rPr>
        <b/>
        <sz val="11"/>
        <color theme="1"/>
        <rFont val="Calibri"/>
        <family val="2"/>
        <scheme val="minor"/>
      </rPr>
      <t xml:space="preserve"> nos cálculos. As constantes (DE PERDAS [22%] E MAGNÉTICAS Mg1 e Mg2) estão nos campos LARANJA forte, não é possível alterá-las.</t>
    </r>
  </si>
  <si>
    <t xml:space="preserve">  &lt;= Pode alterar e inserir qtos taps quiser na montagem. - Trabalhe com a tensão total dos taps somados. Nesta situação você não escolhe a corrente I.</t>
  </si>
  <si>
    <r>
      <t>Escolha a Placa e digite seu valor Sj = b*(d-c) em mm</t>
    </r>
    <r>
      <rPr>
        <b/>
        <vertAlign val="superscript"/>
        <sz val="14"/>
        <color theme="1"/>
        <rFont val="Calibri"/>
        <family val="2"/>
        <scheme val="minor"/>
      </rPr>
      <t>2</t>
    </r>
    <r>
      <rPr>
        <b/>
        <sz val="14"/>
        <color theme="1"/>
        <rFont val="Calibri"/>
        <family val="2"/>
        <scheme val="minor"/>
      </rPr>
      <t>:</t>
    </r>
  </si>
  <si>
    <t>Supondo-se quadrado - LADO B em cm:</t>
  </si>
  <si>
    <t>+ 8 mm no perímetro do carretel + 1% + 3 metros</t>
  </si>
  <si>
    <t>Margem de segurança: + 8 mm no perímetro do carretal + 1% + 3 metros ao final</t>
  </si>
  <si>
    <t xml:space="preserve">Referência </t>
  </si>
  <si>
    <t>A</t>
  </si>
  <si>
    <t>B</t>
  </si>
  <si>
    <t>C</t>
  </si>
  <si>
    <t>D</t>
  </si>
  <si>
    <t>E</t>
  </si>
  <si>
    <t>Peso por Cm em Gramas</t>
  </si>
  <si>
    <t>E I 16</t>
  </si>
  <si>
    <t>E I 20</t>
  </si>
  <si>
    <t>E I 22</t>
  </si>
  <si>
    <t>E I 25</t>
  </si>
  <si>
    <t>E I 28</t>
  </si>
  <si>
    <t>E I 32</t>
  </si>
  <si>
    <t>E I 38</t>
  </si>
  <si>
    <t>E I 44</t>
  </si>
  <si>
    <t>E I 50</t>
  </si>
  <si>
    <t>E I 60</t>
  </si>
  <si>
    <t>E I 70</t>
  </si>
  <si>
    <t>E I 80</t>
  </si>
  <si>
    <t>E I 100</t>
  </si>
  <si>
    <t>C = A / 3</t>
  </si>
  <si>
    <t>D = A / 6</t>
  </si>
  <si>
    <t>B = 1,5 * A</t>
  </si>
  <si>
    <t>Fórmulas para todas as chapas E I</t>
  </si>
  <si>
    <t>Tabela do peso das lâminas de transformadores em milímetros</t>
  </si>
  <si>
    <t>Sj - janela da chapa mm2</t>
  </si>
  <si>
    <r>
      <t xml:space="preserve">Tabelas de </t>
    </r>
    <r>
      <rPr>
        <b/>
        <sz val="22"/>
        <color rgb="FFFF0000"/>
        <rFont val="Calibri"/>
        <family val="2"/>
        <scheme val="minor"/>
      </rPr>
      <t>Áreas</t>
    </r>
    <r>
      <rPr>
        <b/>
        <sz val="22"/>
        <color theme="1"/>
        <rFont val="Calibri"/>
        <family val="2"/>
        <scheme val="minor"/>
      </rPr>
      <t xml:space="preserve"> Núcleos de Carreteis Comerciais </t>
    </r>
    <r>
      <rPr>
        <b/>
        <sz val="22"/>
        <color rgb="FFFF0000"/>
        <rFont val="Calibri"/>
        <family val="2"/>
        <scheme val="minor"/>
      </rPr>
      <t>cm</t>
    </r>
    <r>
      <rPr>
        <b/>
        <vertAlign val="superscript"/>
        <sz val="22"/>
        <color rgb="FFFF0000"/>
        <rFont val="Calibri"/>
        <family val="2"/>
        <scheme val="minor"/>
      </rPr>
      <t>2</t>
    </r>
  </si>
  <si>
    <t>Seção da janela - olhe na 6ª planilha</t>
  </si>
  <si>
    <t>Seção de ocupação fios (primários + secundários) + 5% de margem:</t>
  </si>
  <si>
    <r>
      <t>Seção de ocupação fios S</t>
    </r>
    <r>
      <rPr>
        <b/>
        <vertAlign val="subscript"/>
        <sz val="12"/>
        <color theme="1"/>
        <rFont val="Calibri"/>
        <family val="2"/>
        <scheme val="minor"/>
      </rPr>
      <t>fios</t>
    </r>
    <r>
      <rPr>
        <b/>
        <sz val="12"/>
        <color theme="1"/>
        <rFont val="Calibri"/>
        <family val="2"/>
        <scheme val="minor"/>
      </rPr>
      <t xml:space="preserve"> (primários + secundários) + 5% de margem:</t>
    </r>
  </si>
  <si>
    <r>
      <t>mm</t>
    </r>
    <r>
      <rPr>
        <b/>
        <vertAlign val="superscript"/>
        <sz val="16"/>
        <color theme="1"/>
        <rFont val="Calibri"/>
        <family val="2"/>
        <scheme val="minor"/>
      </rPr>
      <t>2</t>
    </r>
  </si>
  <si>
    <t xml:space="preserve">Seção Sj da chapa E I </t>
  </si>
  <si>
    <t>Sj = A/6 * (1,5 * A - D)</t>
  </si>
  <si>
    <t>Sj =A/6 * 1,333 * A</t>
  </si>
  <si>
    <t>Observe várias planilhas sobre chapas, carreteis e outros dados que disponibilizamos aqui mesmo. Navegue nas guias inferiores.</t>
  </si>
  <si>
    <t>Possibilidade de construção Sj / Sfios &gt;=3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</si>
</sst>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
    <numFmt numFmtId="166" formatCode="0.00000"/>
    <numFmt numFmtId="167" formatCode="0.0000"/>
  </numFmts>
  <fonts count="56" x14ac:knownFonts="1">
    <font>
      <sz val="11"/>
      <color theme="1"/>
      <name val="Calibri"/>
      <family val="2"/>
      <scheme val="minor"/>
    </font>
    <font>
      <b/>
      <sz val="11"/>
      <color theme="1"/>
      <name val="Calibri"/>
      <family val="2"/>
      <scheme val="minor"/>
    </font>
    <font>
      <sz val="8"/>
      <name val="Calibri"/>
      <family val="2"/>
      <scheme val="minor"/>
    </font>
    <font>
      <sz val="10"/>
      <color theme="1"/>
      <name val="Calibri"/>
      <family val="2"/>
      <scheme val="minor"/>
    </font>
    <font>
      <b/>
      <sz val="14"/>
      <color theme="1"/>
      <name val="Calibri"/>
      <family val="2"/>
      <scheme val="minor"/>
    </font>
    <font>
      <u/>
      <sz val="11"/>
      <color theme="10"/>
      <name val="Calibri"/>
      <family val="2"/>
      <scheme val="minor"/>
    </font>
    <font>
      <u/>
      <sz val="10"/>
      <color theme="10"/>
      <name val="Calibri"/>
      <family val="2"/>
      <scheme val="minor"/>
    </font>
    <font>
      <sz val="12"/>
      <color theme="1"/>
      <name val="Calibri"/>
      <family val="2"/>
      <scheme val="minor"/>
    </font>
    <font>
      <b/>
      <sz val="9"/>
      <color theme="1"/>
      <name val="Calibri"/>
      <family val="2"/>
      <scheme val="minor"/>
    </font>
    <font>
      <b/>
      <sz val="14"/>
      <color rgb="FFFF0000"/>
      <name val="Calibri"/>
      <family val="2"/>
      <scheme val="minor"/>
    </font>
    <font>
      <b/>
      <sz val="16"/>
      <color rgb="FFFF0000"/>
      <name val="Calibri"/>
      <family val="2"/>
      <scheme val="minor"/>
    </font>
    <font>
      <b/>
      <sz val="18"/>
      <color rgb="FFFF0000"/>
      <name val="Calibri"/>
      <family val="2"/>
      <scheme val="minor"/>
    </font>
    <font>
      <b/>
      <u/>
      <sz val="10"/>
      <color rgb="FF002060"/>
      <name val="Calibri"/>
      <family val="2"/>
      <scheme val="minor"/>
    </font>
    <font>
      <b/>
      <sz val="10"/>
      <color rgb="FF002060"/>
      <name val="Calibri"/>
      <family val="2"/>
      <scheme val="minor"/>
    </font>
    <font>
      <b/>
      <u/>
      <sz val="11"/>
      <color rgb="FF002060"/>
      <name val="Calibri"/>
      <family val="2"/>
      <scheme val="minor"/>
    </font>
    <font>
      <b/>
      <vertAlign val="superscript"/>
      <sz val="11"/>
      <color theme="1"/>
      <name val="Calibri"/>
      <family val="2"/>
      <scheme val="minor"/>
    </font>
    <font>
      <b/>
      <sz val="16"/>
      <color theme="1"/>
      <name val="Calibri"/>
      <family val="2"/>
      <scheme val="minor"/>
    </font>
    <font>
      <b/>
      <sz val="18"/>
      <color theme="1"/>
      <name val="Calibri"/>
      <family val="2"/>
      <scheme val="minor"/>
    </font>
    <font>
      <b/>
      <sz val="20"/>
      <color theme="1"/>
      <name val="Calibri"/>
      <family val="2"/>
      <scheme val="minor"/>
    </font>
    <font>
      <b/>
      <sz val="22"/>
      <color theme="1"/>
      <name val="Calibri"/>
      <family val="2"/>
      <scheme val="minor"/>
    </font>
    <font>
      <sz val="14"/>
      <color theme="1"/>
      <name val="Calibri"/>
      <family val="2"/>
      <scheme val="minor"/>
    </font>
    <font>
      <sz val="16"/>
      <color theme="1"/>
      <name val="Calibri"/>
      <family val="2"/>
      <scheme val="minor"/>
    </font>
    <font>
      <sz val="18"/>
      <color theme="1"/>
      <name val="Calibri"/>
      <family val="2"/>
      <scheme val="minor"/>
    </font>
    <font>
      <b/>
      <sz val="20"/>
      <color rgb="FFFF0000"/>
      <name val="Calibri"/>
      <family val="2"/>
      <scheme val="minor"/>
    </font>
    <font>
      <b/>
      <sz val="22"/>
      <color rgb="FFFF0000"/>
      <name val="Calibri"/>
      <family val="2"/>
      <scheme val="minor"/>
    </font>
    <font>
      <b/>
      <sz val="24"/>
      <color rgb="FFFF0000"/>
      <name val="Calibri"/>
      <family val="2"/>
      <scheme val="minor"/>
    </font>
    <font>
      <vertAlign val="superscript"/>
      <sz val="14"/>
      <color theme="1"/>
      <name val="Calibri"/>
      <family val="2"/>
      <scheme val="minor"/>
    </font>
    <font>
      <vertAlign val="superscript"/>
      <sz val="16"/>
      <color theme="1"/>
      <name val="Calibri"/>
      <family val="2"/>
      <scheme val="minor"/>
    </font>
    <font>
      <sz val="20"/>
      <color theme="1"/>
      <name val="Calibri"/>
      <family val="2"/>
      <scheme val="minor"/>
    </font>
    <font>
      <b/>
      <vertAlign val="superscript"/>
      <sz val="22"/>
      <color rgb="FFFF0000"/>
      <name val="Calibri"/>
      <family val="2"/>
      <scheme val="minor"/>
    </font>
    <font>
      <vertAlign val="subscript"/>
      <sz val="18"/>
      <color theme="1"/>
      <name val="Calibri"/>
      <family val="2"/>
      <scheme val="minor"/>
    </font>
    <font>
      <vertAlign val="superscript"/>
      <sz val="18"/>
      <color theme="1"/>
      <name val="Calibri"/>
      <family val="2"/>
      <scheme val="minor"/>
    </font>
    <font>
      <b/>
      <sz val="22"/>
      <color rgb="FF0070C0"/>
      <name val="Calibri"/>
      <family val="2"/>
      <scheme val="minor"/>
    </font>
    <font>
      <vertAlign val="subscript"/>
      <sz val="16"/>
      <color theme="1"/>
      <name val="Calibri"/>
      <family val="2"/>
      <scheme val="minor"/>
    </font>
    <font>
      <vertAlign val="subscript"/>
      <sz val="12"/>
      <color theme="1"/>
      <name val="Calibri"/>
      <family val="2"/>
      <scheme val="minor"/>
    </font>
    <font>
      <sz val="17"/>
      <color theme="1"/>
      <name val="Calibri"/>
      <family val="2"/>
      <scheme val="minor"/>
    </font>
    <font>
      <u/>
      <sz val="14"/>
      <color theme="10"/>
      <name val="Calibri"/>
      <family val="2"/>
      <scheme val="minor"/>
    </font>
    <font>
      <b/>
      <sz val="24"/>
      <color theme="1"/>
      <name val="Calibri"/>
      <family val="2"/>
      <scheme val="minor"/>
    </font>
    <font>
      <vertAlign val="subscript"/>
      <sz val="17"/>
      <color theme="1"/>
      <name val="Calibri"/>
      <family val="2"/>
      <scheme val="minor"/>
    </font>
    <font>
      <b/>
      <vertAlign val="superscript"/>
      <sz val="14"/>
      <color theme="1"/>
      <name val="Calibri"/>
      <family val="2"/>
      <scheme val="minor"/>
    </font>
    <font>
      <b/>
      <sz val="15"/>
      <color theme="1"/>
      <name val="Calibri"/>
      <family val="2"/>
      <scheme val="minor"/>
    </font>
    <font>
      <b/>
      <sz val="12"/>
      <color theme="1"/>
      <name val="Calibri"/>
      <family val="2"/>
      <scheme val="minor"/>
    </font>
    <font>
      <b/>
      <vertAlign val="superscript"/>
      <sz val="12"/>
      <color theme="1"/>
      <name val="Calibri"/>
      <family val="2"/>
      <scheme val="minor"/>
    </font>
    <font>
      <sz val="17"/>
      <name val="Calibri"/>
      <family val="2"/>
      <scheme val="minor"/>
    </font>
    <font>
      <sz val="18"/>
      <color rgb="FFC00000"/>
      <name val="Calibri"/>
      <family val="2"/>
      <scheme val="minor"/>
    </font>
    <font>
      <b/>
      <sz val="18"/>
      <color rgb="FFC00000"/>
      <name val="Calibri"/>
      <family val="2"/>
      <scheme val="minor"/>
    </font>
    <font>
      <b/>
      <sz val="16"/>
      <color rgb="FFC00000"/>
      <name val="Calibri"/>
      <family val="2"/>
      <scheme val="minor"/>
    </font>
    <font>
      <sz val="26"/>
      <color rgb="FFC00000"/>
      <name val="Calibri"/>
      <family val="2"/>
      <scheme val="minor"/>
    </font>
    <font>
      <b/>
      <sz val="28"/>
      <color rgb="FFC00000"/>
      <name val="Calibri"/>
      <family val="2"/>
      <scheme val="minor"/>
    </font>
    <font>
      <b/>
      <sz val="12"/>
      <color rgb="FFC00000"/>
      <name val="Calibri"/>
      <family val="2"/>
      <scheme val="minor"/>
    </font>
    <font>
      <sz val="11"/>
      <color theme="0"/>
      <name val="Calibri"/>
      <family val="2"/>
      <scheme val="minor"/>
    </font>
    <font>
      <b/>
      <sz val="18"/>
      <name val="Calibri"/>
      <family val="2"/>
      <scheme val="minor"/>
    </font>
    <font>
      <sz val="9"/>
      <color indexed="81"/>
      <name val="Segoe UI"/>
      <family val="2"/>
    </font>
    <font>
      <b/>
      <sz val="12"/>
      <color indexed="81"/>
      <name val="Segoe UI"/>
      <family val="2"/>
    </font>
    <font>
      <b/>
      <vertAlign val="subscript"/>
      <sz val="12"/>
      <color theme="1"/>
      <name val="Calibri"/>
      <family val="2"/>
      <scheme val="minor"/>
    </font>
    <font>
      <b/>
      <vertAlign val="superscript"/>
      <sz val="16"/>
      <color theme="1"/>
      <name val="Calibri"/>
      <family val="2"/>
      <scheme val="minor"/>
    </font>
  </fonts>
  <fills count="22">
    <fill>
      <patternFill patternType="none"/>
    </fill>
    <fill>
      <patternFill patternType="gray125"/>
    </fill>
    <fill>
      <patternFill patternType="solid">
        <fgColor rgb="FFFFFF00"/>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1"/>
        <bgColor indexed="64"/>
      </patternFill>
    </fill>
    <fill>
      <patternFill patternType="solid">
        <fgColor theme="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4" tint="0.59999389629810485"/>
        <bgColor indexed="64"/>
      </patternFill>
    </fill>
    <fill>
      <patternFill patternType="solid">
        <fgColor rgb="FFFFC000"/>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right/>
      <top style="thin">
        <color indexed="64"/>
      </top>
      <bottom style="thin">
        <color indexed="64"/>
      </bottom>
      <diagonal/>
    </border>
    <border>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thin">
        <color indexed="64"/>
      </bottom>
      <diagonal/>
    </border>
    <border>
      <left style="thin">
        <color indexed="64"/>
      </left>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5" fillId="0" borderId="0" applyNumberFormat="0" applyFill="0" applyBorder="0" applyAlignment="0" applyProtection="0"/>
  </cellStyleXfs>
  <cellXfs count="335">
    <xf numFmtId="0" fontId="0" fillId="0" borderId="0" xfId="0"/>
    <xf numFmtId="0" fontId="0" fillId="0" borderId="0" xfId="0" applyAlignment="1">
      <alignment horizontal="center"/>
    </xf>
    <xf numFmtId="0" fontId="0" fillId="0" borderId="0" xfId="0" applyAlignment="1">
      <alignment vertical="center"/>
    </xf>
    <xf numFmtId="0" fontId="0" fillId="0" borderId="0" xfId="0" applyAlignment="1">
      <alignment horizontal="center" vertical="center"/>
    </xf>
    <xf numFmtId="0" fontId="8" fillId="4" borderId="6" xfId="0" applyFont="1" applyFill="1" applyBorder="1" applyAlignment="1">
      <alignment horizontal="center" vertical="center" wrapText="1"/>
    </xf>
    <xf numFmtId="0" fontId="12" fillId="4" borderId="5" xfId="1" applyFont="1" applyFill="1" applyBorder="1" applyAlignment="1">
      <alignment horizontal="center" vertical="center" wrapText="1"/>
    </xf>
    <xf numFmtId="0" fontId="12" fillId="4" borderId="7" xfId="1" applyFont="1" applyFill="1" applyBorder="1" applyAlignment="1">
      <alignment horizontal="center" vertical="center" wrapText="1"/>
    </xf>
    <xf numFmtId="0" fontId="0" fillId="6" borderId="0" xfId="0" applyFill="1" applyAlignment="1">
      <alignment vertical="center"/>
    </xf>
    <xf numFmtId="0" fontId="4" fillId="4" borderId="6" xfId="0" applyFont="1" applyFill="1" applyBorder="1" applyAlignment="1">
      <alignment horizontal="center" vertical="center" wrapText="1"/>
    </xf>
    <xf numFmtId="0" fontId="19" fillId="6" borderId="18" xfId="0" applyFont="1" applyFill="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6" borderId="32" xfId="0" applyFont="1" applyFill="1" applyBorder="1" applyAlignment="1">
      <alignment vertical="center"/>
    </xf>
    <xf numFmtId="0" fontId="0" fillId="6" borderId="11" xfId="0" applyFill="1" applyBorder="1" applyAlignment="1">
      <alignment vertical="center"/>
    </xf>
    <xf numFmtId="0" fontId="17" fillId="6" borderId="31" xfId="0" applyFont="1" applyFill="1" applyBorder="1" applyAlignment="1">
      <alignment vertical="center"/>
    </xf>
    <xf numFmtId="0" fontId="17" fillId="6" borderId="10" xfId="0" applyFont="1" applyFill="1" applyBorder="1" applyAlignment="1">
      <alignment horizontal="center" vertical="center" wrapText="1"/>
    </xf>
    <xf numFmtId="0" fontId="0" fillId="2" borderId="1" xfId="0" applyFill="1" applyBorder="1"/>
    <xf numFmtId="0" fontId="0" fillId="2" borderId="1" xfId="0" applyFill="1" applyBorder="1" applyAlignment="1">
      <alignment horizontal="center"/>
    </xf>
    <xf numFmtId="0" fontId="0" fillId="8" borderId="1" xfId="0" applyFill="1" applyBorder="1" applyAlignment="1">
      <alignment horizontal="center"/>
    </xf>
    <xf numFmtId="0" fontId="0" fillId="0" borderId="1" xfId="0" applyBorder="1" applyAlignment="1">
      <alignment horizontal="center"/>
    </xf>
    <xf numFmtId="0" fontId="0" fillId="9" borderId="1" xfId="0" applyFill="1" applyBorder="1" applyAlignment="1">
      <alignment horizontal="center"/>
    </xf>
    <xf numFmtId="49" fontId="16" fillId="0" borderId="1" xfId="0" applyNumberFormat="1" applyFont="1" applyBorder="1" applyAlignment="1">
      <alignment horizontal="center" vertical="center"/>
    </xf>
    <xf numFmtId="49" fontId="16" fillId="0" borderId="5" xfId="0" applyNumberFormat="1" applyFont="1" applyBorder="1" applyAlignment="1">
      <alignment horizontal="center" vertical="center"/>
    </xf>
    <xf numFmtId="49" fontId="16" fillId="0" borderId="6" xfId="0" applyNumberFormat="1" applyFont="1" applyBorder="1" applyAlignment="1">
      <alignment horizontal="center" vertical="center"/>
    </xf>
    <xf numFmtId="166" fontId="7" fillId="0" borderId="7" xfId="0" applyNumberFormat="1" applyFont="1" applyBorder="1" applyAlignment="1">
      <alignment horizontal="center" vertical="center"/>
    </xf>
    <xf numFmtId="166" fontId="7" fillId="0" borderId="8" xfId="0" applyNumberFormat="1" applyFont="1" applyBorder="1" applyAlignment="1">
      <alignment horizontal="center" vertical="center"/>
    </xf>
    <xf numFmtId="166" fontId="7" fillId="0" borderId="9" xfId="0" applyNumberFormat="1" applyFont="1" applyBorder="1" applyAlignment="1">
      <alignment horizontal="center" vertical="center"/>
    </xf>
    <xf numFmtId="0" fontId="17" fillId="0" borderId="0" xfId="0" applyFont="1" applyAlignment="1">
      <alignment horizontal="center" vertical="center"/>
    </xf>
    <xf numFmtId="0" fontId="1" fillId="0" borderId="0" xfId="0" applyFont="1" applyAlignment="1">
      <alignment horizontal="center" vertical="center" wrapText="1"/>
    </xf>
    <xf numFmtId="0" fontId="20" fillId="0" borderId="0" xfId="0" applyFont="1" applyAlignment="1">
      <alignment horizontal="left" vertical="center"/>
    </xf>
    <xf numFmtId="0" fontId="7" fillId="0" borderId="0" xfId="0" applyFont="1" applyAlignment="1">
      <alignment horizontal="center" vertical="center" wrapText="1"/>
    </xf>
    <xf numFmtId="0" fontId="4" fillId="0" borderId="0" xfId="0" applyFont="1" applyAlignment="1">
      <alignment horizontal="center" vertical="center" wrapText="1"/>
    </xf>
    <xf numFmtId="0" fontId="8" fillId="0" borderId="0" xfId="0" applyFont="1" applyAlignment="1">
      <alignment horizontal="center" vertical="center" wrapText="1"/>
    </xf>
    <xf numFmtId="0" fontId="11" fillId="0" borderId="0" xfId="0" applyFont="1" applyAlignment="1">
      <alignment horizontal="center" vertical="center" wrapText="1"/>
    </xf>
    <xf numFmtId="167" fontId="7" fillId="0" borderId="0" xfId="0" applyNumberFormat="1" applyFont="1" applyAlignment="1">
      <alignment horizontal="center" vertical="center"/>
    </xf>
    <xf numFmtId="0" fontId="0" fillId="0" borderId="0" xfId="0" applyAlignment="1">
      <alignment horizontal="center" vertical="center" wrapText="1"/>
    </xf>
    <xf numFmtId="0" fontId="5" fillId="0" borderId="0" xfId="1" applyFill="1" applyBorder="1" applyAlignment="1">
      <alignment horizontal="center" vertical="center"/>
    </xf>
    <xf numFmtId="0" fontId="3" fillId="0" borderId="0" xfId="0" applyFont="1" applyAlignment="1">
      <alignment horizontal="center" vertical="center"/>
    </xf>
    <xf numFmtId="0" fontId="0" fillId="6" borderId="12" xfId="0" applyFill="1" applyBorder="1" applyAlignment="1">
      <alignment vertical="center"/>
    </xf>
    <xf numFmtId="0" fontId="0" fillId="5" borderId="22" xfId="0" applyFill="1" applyBorder="1" applyAlignment="1">
      <alignment horizontal="center" vertical="center"/>
    </xf>
    <xf numFmtId="0" fontId="20" fillId="0" borderId="0" xfId="0" applyFont="1" applyAlignment="1">
      <alignment vertical="center" wrapText="1"/>
    </xf>
    <xf numFmtId="0" fontId="21" fillId="13" borderId="2" xfId="0" applyFont="1" applyFill="1" applyBorder="1" applyAlignment="1">
      <alignment horizontal="center" vertical="center"/>
    </xf>
    <xf numFmtId="0" fontId="21" fillId="13" borderId="5" xfId="0" applyFont="1" applyFill="1" applyBorder="1" applyAlignment="1">
      <alignment horizontal="center" vertical="center"/>
    </xf>
    <xf numFmtId="0" fontId="20" fillId="13" borderId="2" xfId="0" applyFont="1" applyFill="1" applyBorder="1" applyAlignment="1">
      <alignment horizontal="right" vertical="center"/>
    </xf>
    <xf numFmtId="0" fontId="20" fillId="13" borderId="7" xfId="0" applyFont="1" applyFill="1" applyBorder="1" applyAlignment="1">
      <alignment horizontal="right" vertical="center"/>
    </xf>
    <xf numFmtId="0" fontId="20" fillId="4" borderId="35" xfId="0" applyFont="1" applyFill="1" applyBorder="1" applyAlignment="1">
      <alignment horizontal="right" vertical="center"/>
    </xf>
    <xf numFmtId="0" fontId="0" fillId="10" borderId="0" xfId="0" applyFill="1" applyAlignment="1">
      <alignment horizontal="center" vertical="center"/>
    </xf>
    <xf numFmtId="0" fontId="0" fillId="10" borderId="0" xfId="0" applyFill="1" applyAlignment="1">
      <alignment vertical="center"/>
    </xf>
    <xf numFmtId="166" fontId="21" fillId="0" borderId="5" xfId="0" applyNumberFormat="1" applyFont="1" applyBorder="1" applyAlignment="1">
      <alignment horizontal="center" vertical="center"/>
    </xf>
    <xf numFmtId="166" fontId="21" fillId="0" borderId="1" xfId="0" applyNumberFormat="1" applyFont="1" applyBorder="1" applyAlignment="1">
      <alignment horizontal="center" vertical="center"/>
    </xf>
    <xf numFmtId="166" fontId="21" fillId="0" borderId="6" xfId="0" applyNumberFormat="1" applyFont="1" applyBorder="1" applyAlignment="1">
      <alignment horizontal="center" vertical="center"/>
    </xf>
    <xf numFmtId="0" fontId="20" fillId="15" borderId="2" xfId="0" applyFont="1" applyFill="1" applyBorder="1" applyAlignment="1">
      <alignment horizontal="center" vertical="center"/>
    </xf>
    <xf numFmtId="0" fontId="20" fillId="15" borderId="7" xfId="0" applyFont="1" applyFill="1" applyBorder="1" applyAlignment="1">
      <alignment horizontal="center" vertical="center"/>
    </xf>
    <xf numFmtId="0" fontId="20" fillId="5" borderId="21" xfId="0" applyFont="1" applyFill="1" applyBorder="1" applyAlignment="1">
      <alignment vertical="center"/>
    </xf>
    <xf numFmtId="0" fontId="20" fillId="15" borderId="5" xfId="0" applyFont="1" applyFill="1" applyBorder="1" applyAlignment="1">
      <alignment horizontal="center" vertical="center"/>
    </xf>
    <xf numFmtId="0" fontId="22" fillId="2" borderId="3" xfId="0" applyFont="1" applyFill="1" applyBorder="1" applyAlignment="1" applyProtection="1">
      <alignment horizontal="center" vertical="center"/>
      <protection locked="0"/>
    </xf>
    <xf numFmtId="0" fontId="22" fillId="2" borderId="8"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protection locked="0"/>
    </xf>
    <xf numFmtId="0" fontId="22" fillId="2" borderId="17" xfId="0" applyFont="1" applyFill="1" applyBorder="1" applyAlignment="1" applyProtection="1">
      <alignment horizontal="center" vertical="center"/>
      <protection locked="0"/>
    </xf>
    <xf numFmtId="0" fontId="22" fillId="2" borderId="13" xfId="0" applyFont="1" applyFill="1" applyBorder="1" applyAlignment="1" applyProtection="1">
      <alignment horizontal="center" vertical="center"/>
      <protection locked="0"/>
    </xf>
    <xf numFmtId="0" fontId="22" fillId="2" borderId="6" xfId="0" applyFont="1" applyFill="1" applyBorder="1" applyAlignment="1" applyProtection="1">
      <alignment horizontal="center" vertical="center"/>
      <protection locked="0"/>
    </xf>
    <xf numFmtId="0" fontId="0" fillId="0" borderId="21" xfId="0" applyBorder="1" applyAlignment="1">
      <alignment vertical="center"/>
    </xf>
    <xf numFmtId="0" fontId="0" fillId="0" borderId="22" xfId="0" applyBorder="1" applyAlignment="1">
      <alignment vertical="center"/>
    </xf>
    <xf numFmtId="0" fontId="20" fillId="7" borderId="36" xfId="0" applyFont="1" applyFill="1" applyBorder="1" applyAlignment="1">
      <alignment horizontal="center" vertical="center" wrapText="1"/>
    </xf>
    <xf numFmtId="0" fontId="22" fillId="7" borderId="2" xfId="0" applyFont="1" applyFill="1" applyBorder="1" applyAlignment="1">
      <alignment horizontal="center" vertical="center"/>
    </xf>
    <xf numFmtId="0" fontId="21" fillId="7" borderId="3" xfId="0" applyFont="1" applyFill="1" applyBorder="1" applyAlignment="1">
      <alignment horizontal="left" vertical="center"/>
    </xf>
    <xf numFmtId="0" fontId="22" fillId="7" borderId="7" xfId="0" applyFont="1" applyFill="1" applyBorder="1" applyAlignment="1">
      <alignment horizontal="center" vertical="center"/>
    </xf>
    <xf numFmtId="0" fontId="21" fillId="7" borderId="8" xfId="0" applyFont="1" applyFill="1" applyBorder="1" applyAlignment="1">
      <alignment horizontal="left" vertical="center"/>
    </xf>
    <xf numFmtId="0" fontId="22" fillId="4" borderId="5" xfId="0" applyFont="1" applyFill="1" applyBorder="1" applyAlignment="1">
      <alignment horizontal="center" vertical="center"/>
    </xf>
    <xf numFmtId="0" fontId="35" fillId="14" borderId="7" xfId="0" applyFont="1" applyFill="1" applyBorder="1" applyAlignment="1">
      <alignment horizontal="center" vertical="center"/>
    </xf>
    <xf numFmtId="0" fontId="35" fillId="14" borderId="8" xfId="0" applyFont="1" applyFill="1" applyBorder="1" applyAlignment="1">
      <alignment horizontal="center" vertical="center"/>
    </xf>
    <xf numFmtId="0" fontId="22" fillId="11" borderId="2" xfId="0" applyFont="1" applyFill="1" applyBorder="1" applyAlignment="1">
      <alignment horizontal="center" vertical="center"/>
    </xf>
    <xf numFmtId="0" fontId="21" fillId="11" borderId="4" xfId="0" applyFont="1" applyFill="1" applyBorder="1" applyAlignment="1">
      <alignment horizontal="center" vertical="center"/>
    </xf>
    <xf numFmtId="0" fontId="22" fillId="11" borderId="5" xfId="0" applyFont="1" applyFill="1" applyBorder="1" applyAlignment="1">
      <alignment horizontal="center" vertical="center"/>
    </xf>
    <xf numFmtId="0" fontId="21" fillId="11" borderId="39" xfId="0" applyFont="1" applyFill="1" applyBorder="1" applyAlignment="1">
      <alignment horizontal="center" vertical="center"/>
    </xf>
    <xf numFmtId="0" fontId="22" fillId="3" borderId="5" xfId="0" applyFont="1" applyFill="1" applyBorder="1" applyAlignment="1">
      <alignment horizontal="center" vertical="center"/>
    </xf>
    <xf numFmtId="0" fontId="21" fillId="3" borderId="6" xfId="0" applyFont="1" applyFill="1" applyBorder="1" applyAlignment="1">
      <alignment horizontal="center" vertical="center"/>
    </xf>
    <xf numFmtId="0" fontId="22" fillId="12" borderId="5" xfId="0" applyFont="1" applyFill="1" applyBorder="1" applyAlignment="1">
      <alignment horizontal="center" vertical="center"/>
    </xf>
    <xf numFmtId="0" fontId="21" fillId="12" borderId="6" xfId="0" applyFont="1" applyFill="1" applyBorder="1" applyAlignment="1">
      <alignment horizontal="center" vertical="center"/>
    </xf>
    <xf numFmtId="0" fontId="22" fillId="12" borderId="7" xfId="0" applyFont="1" applyFill="1" applyBorder="1" applyAlignment="1">
      <alignment horizontal="center" vertical="center"/>
    </xf>
    <xf numFmtId="0" fontId="21" fillId="12" borderId="9" xfId="0" applyFont="1" applyFill="1" applyBorder="1" applyAlignment="1">
      <alignment horizontal="center" vertical="center"/>
    </xf>
    <xf numFmtId="0" fontId="22" fillId="2" borderId="4"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protection locked="0"/>
    </xf>
    <xf numFmtId="0" fontId="21" fillId="13" borderId="7" xfId="0" applyFont="1" applyFill="1" applyBorder="1" applyAlignment="1">
      <alignment horizontal="center" vertical="center"/>
    </xf>
    <xf numFmtId="0" fontId="20" fillId="4" borderId="8" xfId="0" applyFont="1" applyFill="1" applyBorder="1" applyAlignment="1">
      <alignment horizontal="right" vertical="center"/>
    </xf>
    <xf numFmtId="0" fontId="20" fillId="13" borderId="41" xfId="0" applyFont="1" applyFill="1" applyBorder="1" applyAlignment="1">
      <alignment horizontal="center" vertical="center"/>
    </xf>
    <xf numFmtId="0" fontId="20" fillId="13" borderId="42" xfId="0" applyFont="1" applyFill="1" applyBorder="1" applyAlignment="1">
      <alignment horizontal="center" vertical="center"/>
    </xf>
    <xf numFmtId="0" fontId="7" fillId="0" borderId="43" xfId="0" applyFont="1" applyBorder="1" applyAlignment="1">
      <alignment horizontal="center" vertical="center"/>
    </xf>
    <xf numFmtId="0" fontId="20" fillId="0" borderId="42" xfId="0" applyFont="1" applyBorder="1" applyAlignment="1">
      <alignment horizontal="center" vertical="center"/>
    </xf>
    <xf numFmtId="0" fontId="19" fillId="6" borderId="10" xfId="0" applyFont="1" applyFill="1" applyBorder="1" applyAlignment="1">
      <alignment horizontal="center" vertical="center"/>
    </xf>
    <xf numFmtId="0" fontId="41" fillId="15" borderId="17" xfId="0" applyFont="1" applyFill="1" applyBorder="1" applyAlignment="1">
      <alignment horizontal="center" vertical="center"/>
    </xf>
    <xf numFmtId="0" fontId="41" fillId="15" borderId="14" xfId="0" applyFont="1" applyFill="1" applyBorder="1" applyAlignment="1">
      <alignment horizontal="center" vertical="center"/>
    </xf>
    <xf numFmtId="0" fontId="41" fillId="15" borderId="3" xfId="0" applyFont="1" applyFill="1" applyBorder="1" applyAlignment="1">
      <alignment horizontal="center" vertical="center"/>
    </xf>
    <xf numFmtId="0" fontId="41" fillId="15" borderId="2" xfId="0" applyFont="1" applyFill="1" applyBorder="1" applyAlignment="1">
      <alignment vertical="center"/>
    </xf>
    <xf numFmtId="0" fontId="41" fillId="15" borderId="7" xfId="0" applyFont="1" applyFill="1" applyBorder="1" applyAlignment="1">
      <alignment vertical="center"/>
    </xf>
    <xf numFmtId="0" fontId="41" fillId="0" borderId="2" xfId="0" applyFont="1" applyBorder="1" applyAlignment="1">
      <alignment vertical="center"/>
    </xf>
    <xf numFmtId="0" fontId="41" fillId="0" borderId="7" xfId="0" applyFont="1" applyBorder="1" applyAlignment="1">
      <alignment vertical="center"/>
    </xf>
    <xf numFmtId="0" fontId="22" fillId="4" borderId="44" xfId="0" applyFont="1" applyFill="1" applyBorder="1" applyAlignment="1">
      <alignment horizontal="center" vertical="center"/>
    </xf>
    <xf numFmtId="0" fontId="43" fillId="14" borderId="9" xfId="0" applyFont="1" applyFill="1" applyBorder="1" applyAlignment="1">
      <alignment horizontal="center" vertical="center"/>
    </xf>
    <xf numFmtId="0" fontId="4" fillId="14" borderId="46" xfId="0" applyFont="1" applyFill="1" applyBorder="1" applyAlignment="1">
      <alignment horizontal="center" vertical="center"/>
    </xf>
    <xf numFmtId="2" fontId="22" fillId="2" borderId="47" xfId="0" applyNumberFormat="1" applyFont="1" applyFill="1" applyBorder="1" applyAlignment="1" applyProtection="1">
      <alignment horizontal="center" vertical="center"/>
      <protection locked="0"/>
    </xf>
    <xf numFmtId="0" fontId="40" fillId="12" borderId="48" xfId="0" applyFont="1" applyFill="1" applyBorder="1" applyAlignment="1">
      <alignment horizontal="center" vertical="center"/>
    </xf>
    <xf numFmtId="0" fontId="17" fillId="2" borderId="1" xfId="0" applyFont="1" applyFill="1" applyBorder="1" applyAlignment="1" applyProtection="1">
      <alignment horizontal="center" vertical="center"/>
      <protection locked="0"/>
    </xf>
    <xf numFmtId="0" fontId="41" fillId="4" borderId="6" xfId="0" applyFont="1" applyFill="1" applyBorder="1" applyAlignment="1">
      <alignment horizontal="center" vertical="center" wrapText="1"/>
    </xf>
    <xf numFmtId="0" fontId="14" fillId="4" borderId="33" xfId="1" applyFont="1" applyFill="1" applyBorder="1" applyAlignment="1">
      <alignment horizontal="center" vertical="center" wrapText="1"/>
    </xf>
    <xf numFmtId="0" fontId="41" fillId="15" borderId="44" xfId="0" applyFont="1" applyFill="1" applyBorder="1" applyAlignment="1">
      <alignment vertical="center"/>
    </xf>
    <xf numFmtId="0" fontId="41" fillId="15" borderId="34" xfId="0" applyFont="1" applyFill="1" applyBorder="1" applyAlignment="1">
      <alignment horizontal="center" vertical="center"/>
    </xf>
    <xf numFmtId="0" fontId="21" fillId="4" borderId="13" xfId="0" applyFont="1" applyFill="1" applyBorder="1" applyAlignment="1">
      <alignment horizontal="center" vertical="center" wrapText="1"/>
    </xf>
    <xf numFmtId="165" fontId="10" fillId="15" borderId="3" xfId="0" applyNumberFormat="1" applyFont="1" applyFill="1" applyBorder="1" applyAlignment="1">
      <alignment horizontal="center" vertical="center"/>
    </xf>
    <xf numFmtId="165" fontId="10" fillId="15" borderId="8" xfId="0" applyNumberFormat="1" applyFont="1" applyFill="1" applyBorder="1" applyAlignment="1">
      <alignment horizontal="center" vertical="center"/>
    </xf>
    <xf numFmtId="2" fontId="10" fillId="15" borderId="3" xfId="0" applyNumberFormat="1" applyFont="1" applyFill="1" applyBorder="1" applyAlignment="1">
      <alignment horizontal="center" vertical="center"/>
    </xf>
    <xf numFmtId="2" fontId="10" fillId="15" borderId="8" xfId="0" applyNumberFormat="1" applyFont="1" applyFill="1" applyBorder="1" applyAlignment="1">
      <alignment horizontal="center" vertical="center"/>
    </xf>
    <xf numFmtId="164" fontId="10" fillId="15" borderId="17" xfId="0" applyNumberFormat="1" applyFont="1" applyFill="1" applyBorder="1" applyAlignment="1">
      <alignment horizontal="center" vertical="center"/>
    </xf>
    <xf numFmtId="164" fontId="10" fillId="15" borderId="14" xfId="0" applyNumberFormat="1" applyFont="1" applyFill="1" applyBorder="1" applyAlignment="1">
      <alignment horizontal="center" vertical="center"/>
    </xf>
    <xf numFmtId="164" fontId="10" fillId="15" borderId="3" xfId="0" applyNumberFormat="1" applyFont="1" applyFill="1" applyBorder="1" applyAlignment="1">
      <alignment horizontal="center" vertical="center"/>
    </xf>
    <xf numFmtId="164" fontId="10" fillId="15" borderId="8" xfId="0" applyNumberFormat="1" applyFont="1" applyFill="1" applyBorder="1" applyAlignment="1">
      <alignment horizontal="center" vertical="center"/>
    </xf>
    <xf numFmtId="165" fontId="10" fillId="15" borderId="34" xfId="0" applyNumberFormat="1" applyFont="1" applyFill="1" applyBorder="1" applyAlignment="1">
      <alignment horizontal="center" vertical="center"/>
    </xf>
    <xf numFmtId="2" fontId="24" fillId="17" borderId="9" xfId="0" applyNumberFormat="1" applyFont="1" applyFill="1" applyBorder="1" applyAlignment="1">
      <alignment horizontal="center" vertical="center"/>
    </xf>
    <xf numFmtId="0" fontId="17" fillId="4" borderId="6" xfId="0" applyFont="1" applyFill="1" applyBorder="1" applyAlignment="1">
      <alignment horizontal="center" vertical="center" wrapText="1"/>
    </xf>
    <xf numFmtId="0" fontId="17" fillId="4" borderId="9" xfId="0" applyFont="1" applyFill="1" applyBorder="1" applyAlignment="1">
      <alignment horizontal="center" vertical="center" wrapText="1"/>
    </xf>
    <xf numFmtId="165" fontId="45" fillId="16" borderId="8" xfId="0" applyNumberFormat="1" applyFont="1" applyFill="1" applyBorder="1" applyAlignment="1">
      <alignment horizontal="center" vertical="center"/>
    </xf>
    <xf numFmtId="2" fontId="45" fillId="11" borderId="3" xfId="0" applyNumberFormat="1" applyFont="1" applyFill="1" applyBorder="1" applyAlignment="1">
      <alignment horizontal="center" vertical="center"/>
    </xf>
    <xf numFmtId="2" fontId="45" fillId="11" borderId="1" xfId="0" applyNumberFormat="1" applyFont="1" applyFill="1" applyBorder="1" applyAlignment="1">
      <alignment horizontal="center" vertical="center"/>
    </xf>
    <xf numFmtId="2" fontId="45" fillId="3" borderId="1" xfId="0" applyNumberFormat="1" applyFont="1" applyFill="1" applyBorder="1" applyAlignment="1">
      <alignment horizontal="center" vertical="center"/>
    </xf>
    <xf numFmtId="2" fontId="45" fillId="12" borderId="1" xfId="0" applyNumberFormat="1" applyFont="1" applyFill="1" applyBorder="1" applyAlignment="1">
      <alignment horizontal="center" vertical="center"/>
    </xf>
    <xf numFmtId="2" fontId="45" fillId="12" borderId="8" xfId="0" applyNumberFormat="1" applyFont="1" applyFill="1" applyBorder="1" applyAlignment="1">
      <alignment horizontal="center" vertical="center"/>
    </xf>
    <xf numFmtId="2" fontId="45" fillId="7" borderId="3" xfId="0" applyNumberFormat="1" applyFont="1" applyFill="1" applyBorder="1" applyAlignment="1">
      <alignment horizontal="center" vertical="center"/>
    </xf>
    <xf numFmtId="2" fontId="45" fillId="7" borderId="8" xfId="0" applyNumberFormat="1" applyFont="1" applyFill="1" applyBorder="1" applyAlignment="1">
      <alignment horizontal="center" vertical="center"/>
    </xf>
    <xf numFmtId="0" fontId="22" fillId="17" borderId="35" xfId="0" applyFont="1" applyFill="1" applyBorder="1" applyAlignment="1">
      <alignment horizontal="center" vertical="center"/>
    </xf>
    <xf numFmtId="2" fontId="45" fillId="17" borderId="35" xfId="0" applyNumberFormat="1" applyFont="1" applyFill="1" applyBorder="1" applyAlignment="1">
      <alignment horizontal="center" vertical="center"/>
    </xf>
    <xf numFmtId="0" fontId="21" fillId="17" borderId="35" xfId="0" applyFont="1" applyFill="1" applyBorder="1" applyAlignment="1">
      <alignment horizontal="center" vertical="center"/>
    </xf>
    <xf numFmtId="0" fontId="22" fillId="17" borderId="34" xfId="0" applyFont="1" applyFill="1" applyBorder="1" applyAlignment="1">
      <alignment horizontal="center" vertical="center"/>
    </xf>
    <xf numFmtId="2" fontId="45" fillId="17" borderId="34" xfId="0" applyNumberFormat="1" applyFont="1" applyFill="1" applyBorder="1" applyAlignment="1">
      <alignment horizontal="center" vertical="center"/>
    </xf>
    <xf numFmtId="0" fontId="21" fillId="17" borderId="38" xfId="0" applyFont="1" applyFill="1" applyBorder="1" applyAlignment="1">
      <alignment horizontal="center" vertical="center"/>
    </xf>
    <xf numFmtId="0" fontId="22" fillId="18" borderId="34" xfId="0" applyFont="1" applyFill="1" applyBorder="1" applyAlignment="1">
      <alignment horizontal="center" vertical="center"/>
    </xf>
    <xf numFmtId="2" fontId="45" fillId="18" borderId="34" xfId="0" applyNumberFormat="1" applyFont="1" applyFill="1" applyBorder="1" applyAlignment="1">
      <alignment horizontal="center" vertical="center"/>
    </xf>
    <xf numFmtId="2" fontId="46" fillId="4" borderId="40" xfId="0" applyNumberFormat="1" applyFont="1" applyFill="1" applyBorder="1" applyAlignment="1">
      <alignment horizontal="center" vertical="center"/>
    </xf>
    <xf numFmtId="2" fontId="46" fillId="4" borderId="9" xfId="0" applyNumberFormat="1" applyFont="1" applyFill="1" applyBorder="1" applyAlignment="1">
      <alignment horizontal="center" vertical="center"/>
    </xf>
    <xf numFmtId="0" fontId="46" fillId="7" borderId="37" xfId="0" applyFont="1" applyFill="1" applyBorder="1" applyAlignment="1">
      <alignment horizontal="center" vertical="center"/>
    </xf>
    <xf numFmtId="2" fontId="44" fillId="4" borderId="1" xfId="0" applyNumberFormat="1" applyFont="1" applyFill="1" applyBorder="1" applyAlignment="1">
      <alignment horizontal="center" vertical="center"/>
    </xf>
    <xf numFmtId="2" fontId="44" fillId="4" borderId="34" xfId="0" applyNumberFormat="1" applyFont="1" applyFill="1" applyBorder="1" applyAlignment="1">
      <alignment horizontal="center" vertical="center"/>
    </xf>
    <xf numFmtId="2" fontId="48" fillId="4" borderId="1" xfId="0" applyNumberFormat="1" applyFont="1" applyFill="1" applyBorder="1" applyAlignment="1">
      <alignment horizontal="center" vertical="center"/>
    </xf>
    <xf numFmtId="2" fontId="44" fillId="14" borderId="35" xfId="0" applyNumberFormat="1" applyFont="1" applyFill="1" applyBorder="1" applyAlignment="1">
      <alignment horizontal="center" vertical="center"/>
    </xf>
    <xf numFmtId="0" fontId="22" fillId="14" borderId="40" xfId="0" applyFont="1" applyFill="1" applyBorder="1" applyAlignment="1">
      <alignment horizontal="left" vertical="center"/>
    </xf>
    <xf numFmtId="0" fontId="0" fillId="5" borderId="21" xfId="0" applyFill="1" applyBorder="1" applyAlignment="1">
      <alignment vertical="center"/>
    </xf>
    <xf numFmtId="0" fontId="0" fillId="5" borderId="0" xfId="0" applyFill="1" applyAlignment="1">
      <alignment vertical="center"/>
    </xf>
    <xf numFmtId="0" fontId="0" fillId="5" borderId="0" xfId="0" applyFill="1" applyAlignment="1">
      <alignment horizontal="center" vertical="center"/>
    </xf>
    <xf numFmtId="0" fontId="1" fillId="5" borderId="21" xfId="0" applyFont="1" applyFill="1" applyBorder="1" applyAlignment="1">
      <alignment vertical="center"/>
    </xf>
    <xf numFmtId="0" fontId="21" fillId="5" borderId="0" xfId="0" applyFont="1" applyFill="1" applyAlignment="1">
      <alignment horizontal="center" vertical="center"/>
    </xf>
    <xf numFmtId="0" fontId="1" fillId="5" borderId="0" xfId="0" applyFont="1" applyFill="1" applyAlignment="1">
      <alignment horizontal="center" vertical="center"/>
    </xf>
    <xf numFmtId="0" fontId="10" fillId="5" borderId="0" xfId="0" applyFont="1" applyFill="1" applyAlignment="1">
      <alignment vertical="center"/>
    </xf>
    <xf numFmtId="0" fontId="21" fillId="5" borderId="0" xfId="0" applyFont="1" applyFill="1" applyAlignment="1">
      <alignment vertical="center"/>
    </xf>
    <xf numFmtId="0" fontId="16" fillId="19" borderId="16" xfId="0" applyFont="1" applyFill="1" applyBorder="1" applyAlignment="1">
      <alignment horizontal="center" vertical="center"/>
    </xf>
    <xf numFmtId="0" fontId="41" fillId="19" borderId="15" xfId="0" applyFont="1" applyFill="1" applyBorder="1" applyAlignment="1">
      <alignment vertical="center"/>
    </xf>
    <xf numFmtId="0" fontId="1" fillId="19" borderId="15" xfId="0" applyFont="1" applyFill="1" applyBorder="1" applyAlignment="1">
      <alignment vertical="center"/>
    </xf>
    <xf numFmtId="167" fontId="10" fillId="15" borderId="4" xfId="0" applyNumberFormat="1" applyFont="1" applyFill="1" applyBorder="1" applyAlignment="1">
      <alignment horizontal="center" vertical="center"/>
    </xf>
    <xf numFmtId="167" fontId="10" fillId="15" borderId="9" xfId="0" applyNumberFormat="1" applyFont="1" applyFill="1" applyBorder="1" applyAlignment="1">
      <alignment horizontal="center" vertical="center"/>
    </xf>
    <xf numFmtId="0" fontId="10" fillId="5" borderId="22" xfId="0" applyFont="1" applyFill="1" applyBorder="1" applyAlignment="1">
      <alignment horizontal="center" vertical="center"/>
    </xf>
    <xf numFmtId="164" fontId="10" fillId="15" borderId="6" xfId="0" applyNumberFormat="1" applyFont="1" applyFill="1" applyBorder="1" applyAlignment="1">
      <alignment horizontal="center" vertical="center"/>
    </xf>
    <xf numFmtId="164" fontId="10" fillId="15" borderId="9" xfId="0" applyNumberFormat="1" applyFont="1" applyFill="1" applyBorder="1" applyAlignment="1">
      <alignment horizontal="center" vertical="center"/>
    </xf>
    <xf numFmtId="0" fontId="50" fillId="0" borderId="0" xfId="0" applyFont="1" applyAlignment="1">
      <alignment horizontal="center" vertical="center"/>
    </xf>
    <xf numFmtId="0" fontId="51" fillId="4" borderId="6" xfId="0" applyFont="1" applyFill="1" applyBorder="1" applyAlignment="1">
      <alignment horizontal="center" vertical="center" wrapText="1"/>
    </xf>
    <xf numFmtId="0" fontId="51" fillId="4" borderId="9" xfId="0" applyFont="1" applyFill="1" applyBorder="1" applyAlignment="1">
      <alignment horizontal="center" vertical="center" wrapText="1"/>
    </xf>
    <xf numFmtId="49" fontId="21" fillId="18" borderId="1" xfId="0" applyNumberFormat="1" applyFont="1" applyFill="1" applyBorder="1" applyAlignment="1">
      <alignment horizontal="center" vertical="center" wrapText="1"/>
    </xf>
    <xf numFmtId="0" fontId="22" fillId="21" borderId="1" xfId="0" applyFont="1" applyFill="1" applyBorder="1" applyAlignment="1">
      <alignment horizontal="center" vertical="center"/>
    </xf>
    <xf numFmtId="0" fontId="20" fillId="0" borderId="1" xfId="0" applyFont="1" applyBorder="1" applyAlignment="1">
      <alignment horizontal="center" vertical="center"/>
    </xf>
    <xf numFmtId="0" fontId="20" fillId="9" borderId="1" xfId="0" applyFont="1" applyFill="1" applyBorder="1" applyAlignment="1">
      <alignment horizontal="center" vertical="center"/>
    </xf>
    <xf numFmtId="0" fontId="20" fillId="17" borderId="1" xfId="0" applyFont="1" applyFill="1" applyBorder="1" applyAlignment="1">
      <alignment horizontal="center" vertical="center"/>
    </xf>
    <xf numFmtId="0" fontId="28" fillId="0" borderId="0" xfId="0" applyFont="1" applyAlignment="1">
      <alignment vertical="center"/>
    </xf>
    <xf numFmtId="0" fontId="22" fillId="21" borderId="1" xfId="0" applyFont="1" applyFill="1" applyBorder="1" applyAlignment="1">
      <alignment horizontal="center" vertical="center" wrapText="1"/>
    </xf>
    <xf numFmtId="0" fontId="28" fillId="0" borderId="21" xfId="0" applyFont="1" applyBorder="1" applyAlignment="1">
      <alignment horizontal="left" vertical="center"/>
    </xf>
    <xf numFmtId="0" fontId="28" fillId="0" borderId="0" xfId="0" applyFont="1" applyAlignment="1">
      <alignment horizontal="left" vertical="center"/>
    </xf>
    <xf numFmtId="0" fontId="28" fillId="0" borderId="22" xfId="0" applyFont="1" applyBorder="1" applyAlignment="1">
      <alignment horizontal="left" vertical="center"/>
    </xf>
    <xf numFmtId="2" fontId="28" fillId="0" borderId="1" xfId="0" applyNumberFormat="1" applyFont="1" applyBorder="1" applyAlignment="1">
      <alignment horizontal="center" vertical="center"/>
    </xf>
    <xf numFmtId="165" fontId="45" fillId="16" borderId="35" xfId="0" applyNumberFormat="1" applyFont="1" applyFill="1" applyBorder="1" applyAlignment="1">
      <alignment horizontal="center" vertical="center"/>
    </xf>
    <xf numFmtId="165" fontId="10" fillId="15" borderId="1" xfId="0" applyNumberFormat="1" applyFont="1" applyFill="1" applyBorder="1" applyAlignment="1">
      <alignment horizontal="center" vertical="center"/>
    </xf>
    <xf numFmtId="0" fontId="35" fillId="14" borderId="45" xfId="0" applyFont="1" applyFill="1" applyBorder="1" applyAlignment="1">
      <alignment horizontal="center" vertical="center" wrapText="1"/>
    </xf>
    <xf numFmtId="0" fontId="41" fillId="15" borderId="1" xfId="0" applyFont="1" applyFill="1" applyBorder="1" applyAlignment="1">
      <alignment vertical="center" wrapText="1"/>
    </xf>
    <xf numFmtId="0" fontId="16" fillId="15" borderId="1" xfId="0" applyFont="1" applyFill="1" applyBorder="1" applyAlignment="1">
      <alignment horizontal="center" vertical="center"/>
    </xf>
    <xf numFmtId="0" fontId="16" fillId="15" borderId="35" xfId="0" applyFont="1" applyFill="1" applyBorder="1" applyAlignment="1">
      <alignment horizontal="center" vertical="center"/>
    </xf>
    <xf numFmtId="0" fontId="20" fillId="0" borderId="21" xfId="0" applyFont="1" applyBorder="1" applyAlignment="1">
      <alignment horizontal="center" vertical="center"/>
    </xf>
    <xf numFmtId="0" fontId="20" fillId="0" borderId="0" xfId="0" applyFont="1" applyAlignment="1">
      <alignment horizontal="center" vertical="center"/>
    </xf>
    <xf numFmtId="0" fontId="20" fillId="0" borderId="22" xfId="0" applyFont="1" applyBorder="1" applyAlignment="1">
      <alignment horizontal="center" vertical="center"/>
    </xf>
    <xf numFmtId="0" fontId="5" fillId="6" borderId="23" xfId="1" applyFill="1" applyBorder="1" applyAlignment="1">
      <alignment horizontal="center" vertical="center" wrapText="1"/>
    </xf>
    <xf numFmtId="0" fontId="5" fillId="6" borderId="24" xfId="1" applyFill="1" applyBorder="1" applyAlignment="1">
      <alignment horizontal="center" vertical="center" wrapText="1"/>
    </xf>
    <xf numFmtId="0" fontId="5" fillId="6" borderId="25" xfId="1" applyFill="1" applyBorder="1" applyAlignment="1">
      <alignment horizontal="center" vertical="center" wrapText="1"/>
    </xf>
    <xf numFmtId="0" fontId="17" fillId="7" borderId="10" xfId="0" applyFont="1" applyFill="1" applyBorder="1" applyAlignment="1">
      <alignment horizontal="center" vertical="center"/>
    </xf>
    <xf numFmtId="0" fontId="17" fillId="7" borderId="11" xfId="0" applyFont="1" applyFill="1" applyBorder="1" applyAlignment="1">
      <alignment horizontal="center" vertical="center"/>
    </xf>
    <xf numFmtId="0" fontId="17" fillId="7" borderId="12" xfId="0" applyFont="1" applyFill="1" applyBorder="1" applyAlignment="1">
      <alignment horizontal="center" vertical="center"/>
    </xf>
    <xf numFmtId="0" fontId="14" fillId="4" borderId="5" xfId="1" applyFont="1" applyFill="1" applyBorder="1" applyAlignment="1">
      <alignment horizontal="center" vertical="center" wrapText="1"/>
    </xf>
    <xf numFmtId="0" fontId="13" fillId="4" borderId="5" xfId="0" applyFont="1" applyFill="1" applyBorder="1" applyAlignment="1">
      <alignment horizontal="center" vertical="center" wrapText="1"/>
    </xf>
    <xf numFmtId="0" fontId="1" fillId="6" borderId="19" xfId="0" applyFont="1" applyFill="1" applyBorder="1" applyAlignment="1">
      <alignment horizontal="center" vertical="center" wrapText="1"/>
    </xf>
    <xf numFmtId="0" fontId="1" fillId="6" borderId="20" xfId="0" applyFont="1" applyFill="1" applyBorder="1" applyAlignment="1">
      <alignment horizontal="center" vertical="center" wrapText="1"/>
    </xf>
    <xf numFmtId="0" fontId="5" fillId="6" borderId="21" xfId="1" applyFill="1" applyBorder="1" applyAlignment="1">
      <alignment horizontal="center" vertical="center" wrapText="1"/>
    </xf>
    <xf numFmtId="0" fontId="0" fillId="6" borderId="0" xfId="0" applyFill="1" applyAlignment="1">
      <alignment horizontal="center" vertical="center" wrapText="1"/>
    </xf>
    <xf numFmtId="0" fontId="0" fillId="6" borderId="22" xfId="0" applyFill="1" applyBorder="1" applyAlignment="1">
      <alignment horizontal="center" vertical="center" wrapText="1"/>
    </xf>
    <xf numFmtId="0" fontId="12" fillId="4" borderId="5" xfId="1" applyFont="1" applyFill="1" applyBorder="1" applyAlignment="1">
      <alignment horizontal="center" vertical="center" wrapText="1"/>
    </xf>
    <xf numFmtId="0" fontId="4" fillId="4" borderId="6" xfId="0" applyFont="1" applyFill="1" applyBorder="1" applyAlignment="1">
      <alignment horizontal="center" vertical="center" wrapText="1"/>
    </xf>
    <xf numFmtId="0" fontId="41" fillId="15" borderId="26" xfId="0" applyFont="1" applyFill="1" applyBorder="1" applyAlignment="1">
      <alignment horizontal="center" vertical="center" wrapText="1"/>
    </xf>
    <xf numFmtId="0" fontId="41" fillId="15" borderId="20" xfId="0" applyFont="1" applyFill="1" applyBorder="1" applyAlignment="1">
      <alignment horizontal="center" vertical="center" wrapText="1"/>
    </xf>
    <xf numFmtId="0" fontId="41" fillId="15" borderId="50" xfId="0" applyFont="1" applyFill="1" applyBorder="1" applyAlignment="1">
      <alignment horizontal="center" vertical="center" wrapText="1"/>
    </xf>
    <xf numFmtId="0" fontId="41" fillId="15" borderId="22" xfId="0" applyFont="1" applyFill="1" applyBorder="1" applyAlignment="1">
      <alignment horizontal="center" vertical="center" wrapText="1"/>
    </xf>
    <xf numFmtId="0" fontId="16" fillId="15" borderId="13" xfId="0" applyFont="1" applyFill="1" applyBorder="1" applyAlignment="1">
      <alignment horizontal="center" vertical="center" wrapText="1"/>
    </xf>
    <xf numFmtId="0" fontId="16" fillId="15" borderId="33" xfId="0" applyFont="1" applyFill="1" applyBorder="1" applyAlignment="1">
      <alignment horizontal="center" vertical="center" wrapText="1"/>
    </xf>
    <xf numFmtId="0" fontId="10" fillId="15" borderId="13" xfId="0" applyFont="1" applyFill="1" applyBorder="1" applyAlignment="1">
      <alignment horizontal="center" vertical="center" wrapText="1"/>
    </xf>
    <xf numFmtId="0" fontId="10" fillId="15" borderId="27" xfId="0" applyFont="1" applyFill="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4" fillId="0" borderId="20"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8" xfId="0" applyFont="1" applyBorder="1" applyAlignment="1">
      <alignment horizontal="left" vertical="center"/>
    </xf>
    <xf numFmtId="0" fontId="20" fillId="0" borderId="9" xfId="0" applyFont="1" applyBorder="1" applyAlignment="1">
      <alignment horizontal="left" vertical="center"/>
    </xf>
    <xf numFmtId="0" fontId="0" fillId="6" borderId="18" xfId="0" applyFill="1" applyBorder="1" applyAlignment="1">
      <alignment horizontal="center" vertical="center"/>
    </xf>
    <xf numFmtId="0" fontId="0" fillId="6" borderId="19" xfId="0" applyFill="1" applyBorder="1" applyAlignment="1">
      <alignment horizontal="center" vertical="center"/>
    </xf>
    <xf numFmtId="0" fontId="0" fillId="6" borderId="20" xfId="0" applyFill="1" applyBorder="1" applyAlignment="1">
      <alignment horizontal="center" vertical="center"/>
    </xf>
    <xf numFmtId="0" fontId="5" fillId="6" borderId="23" xfId="1" applyFill="1" applyBorder="1" applyAlignment="1">
      <alignment horizontal="center" vertical="center"/>
    </xf>
    <xf numFmtId="0" fontId="5" fillId="6" borderId="24" xfId="1" applyFill="1" applyBorder="1" applyAlignment="1">
      <alignment horizontal="center" vertical="center"/>
    </xf>
    <xf numFmtId="0" fontId="5" fillId="6" borderId="25" xfId="1" applyFill="1" applyBorder="1" applyAlignment="1">
      <alignment horizontal="center" vertical="center"/>
    </xf>
    <xf numFmtId="0" fontId="20" fillId="4" borderId="18" xfId="0" applyFont="1" applyFill="1" applyBorder="1" applyAlignment="1">
      <alignment horizontal="center" vertical="center" wrapText="1"/>
    </xf>
    <xf numFmtId="0" fontId="20" fillId="4" borderId="20"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20" fillId="4" borderId="22" xfId="0" applyFont="1" applyFill="1" applyBorder="1" applyAlignment="1">
      <alignment horizontal="center" vertical="center" wrapText="1"/>
    </xf>
    <xf numFmtId="0" fontId="20" fillId="4" borderId="29" xfId="0" applyFont="1" applyFill="1" applyBorder="1" applyAlignment="1">
      <alignment horizontal="center" vertical="center" wrapText="1"/>
    </xf>
    <xf numFmtId="0" fontId="20" fillId="4" borderId="30" xfId="0" applyFont="1" applyFill="1" applyBorder="1" applyAlignment="1">
      <alignment horizontal="center" vertical="center" wrapText="1"/>
    </xf>
    <xf numFmtId="0" fontId="6" fillId="6" borderId="23" xfId="1" applyFont="1" applyFill="1" applyBorder="1" applyAlignment="1">
      <alignment horizontal="center" vertical="center"/>
    </xf>
    <xf numFmtId="0" fontId="3" fillId="6" borderId="24" xfId="0" applyFont="1" applyFill="1" applyBorder="1" applyAlignment="1">
      <alignment horizontal="center" vertical="center"/>
    </xf>
    <xf numFmtId="0" fontId="3" fillId="6" borderId="25" xfId="0" applyFont="1" applyFill="1" applyBorder="1" applyAlignment="1">
      <alignment horizontal="center" vertical="center"/>
    </xf>
    <xf numFmtId="0" fontId="5" fillId="6" borderId="21" xfId="1" applyFill="1" applyBorder="1" applyAlignment="1">
      <alignment horizontal="center" vertical="center"/>
    </xf>
    <xf numFmtId="0" fontId="0" fillId="6" borderId="0" xfId="0" applyFill="1" applyAlignment="1">
      <alignment horizontal="center" vertical="center"/>
    </xf>
    <xf numFmtId="0" fontId="0" fillId="6" borderId="22" xfId="0" applyFill="1" applyBorder="1" applyAlignment="1">
      <alignment horizontal="center" vertical="center"/>
    </xf>
    <xf numFmtId="0" fontId="0" fillId="6" borderId="18" xfId="0" applyFill="1" applyBorder="1" applyAlignment="1">
      <alignment horizontal="center" vertical="center" wrapText="1"/>
    </xf>
    <xf numFmtId="0" fontId="0" fillId="6" borderId="19" xfId="0" applyFill="1" applyBorder="1" applyAlignment="1">
      <alignment horizontal="center" vertical="center" wrapText="1"/>
    </xf>
    <xf numFmtId="0" fontId="0" fillId="6" borderId="20" xfId="0" applyFill="1" applyBorder="1" applyAlignment="1">
      <alignment horizontal="center" vertical="center" wrapText="1"/>
    </xf>
    <xf numFmtId="0" fontId="0" fillId="6" borderId="21" xfId="0" applyFill="1" applyBorder="1" applyAlignment="1">
      <alignment horizontal="center" vertical="center" wrapText="1"/>
    </xf>
    <xf numFmtId="0" fontId="20" fillId="16" borderId="29" xfId="0" applyFont="1" applyFill="1" applyBorder="1" applyAlignment="1">
      <alignment horizontal="center" vertical="center" wrapText="1"/>
    </xf>
    <xf numFmtId="0" fontId="20" fillId="16" borderId="54" xfId="0" applyFont="1" applyFill="1" applyBorder="1" applyAlignment="1">
      <alignment horizontal="center" vertical="center" wrapText="1"/>
    </xf>
    <xf numFmtId="0" fontId="20" fillId="16" borderId="51" xfId="0" applyFont="1" applyFill="1" applyBorder="1" applyAlignment="1">
      <alignment horizontal="center" vertical="center" wrapText="1"/>
    </xf>
    <xf numFmtId="0" fontId="20" fillId="16" borderId="52" xfId="0" applyFont="1" applyFill="1" applyBorder="1" applyAlignment="1">
      <alignment horizontal="center" vertical="center" wrapText="1"/>
    </xf>
    <xf numFmtId="0" fontId="20" fillId="16" borderId="35" xfId="0" applyFont="1" applyFill="1" applyBorder="1" applyAlignment="1">
      <alignment horizontal="center" vertical="center" wrapText="1"/>
    </xf>
    <xf numFmtId="0" fontId="20" fillId="16" borderId="40" xfId="0" applyFont="1" applyFill="1" applyBorder="1" applyAlignment="1">
      <alignment horizontal="center" vertical="center" wrapText="1"/>
    </xf>
    <xf numFmtId="0" fontId="20" fillId="16" borderId="3" xfId="0" applyFont="1" applyFill="1" applyBorder="1" applyAlignment="1">
      <alignment horizontal="center" vertical="center" wrapText="1"/>
    </xf>
    <xf numFmtId="0" fontId="20" fillId="16" borderId="4" xfId="0" applyFont="1" applyFill="1" applyBorder="1" applyAlignment="1">
      <alignment horizontal="center" vertical="center" wrapText="1"/>
    </xf>
    <xf numFmtId="0" fontId="28" fillId="0" borderId="10" xfId="0" applyFont="1" applyBorder="1" applyAlignment="1">
      <alignment horizontal="center" vertical="center" wrapText="1"/>
    </xf>
    <xf numFmtId="0" fontId="28" fillId="0" borderId="11" xfId="0" applyFont="1" applyBorder="1" applyAlignment="1">
      <alignment horizontal="center" vertical="center" wrapText="1"/>
    </xf>
    <xf numFmtId="0" fontId="28" fillId="0" borderId="12" xfId="0" applyFont="1" applyBorder="1" applyAlignment="1">
      <alignment horizontal="center" vertical="center" wrapText="1"/>
    </xf>
    <xf numFmtId="0" fontId="20" fillId="7" borderId="3" xfId="0" applyFont="1" applyFill="1" applyBorder="1" applyAlignment="1">
      <alignment horizontal="center" vertical="center" wrapText="1"/>
    </xf>
    <xf numFmtId="0" fontId="20" fillId="7" borderId="4" xfId="0" applyFont="1" applyFill="1" applyBorder="1" applyAlignment="1">
      <alignment horizontal="center" vertical="center" wrapText="1"/>
    </xf>
    <xf numFmtId="0" fontId="20" fillId="7" borderId="8" xfId="0" applyFont="1" applyFill="1" applyBorder="1" applyAlignment="1">
      <alignment horizontal="center" vertical="center" wrapText="1"/>
    </xf>
    <xf numFmtId="0" fontId="20" fillId="7" borderId="9" xfId="0" applyFont="1" applyFill="1" applyBorder="1" applyAlignment="1">
      <alignment horizontal="center" vertical="center" wrapText="1"/>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22" fillId="0" borderId="5"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9" xfId="0" applyFont="1" applyBorder="1" applyAlignment="1">
      <alignment horizontal="center" vertical="center" wrapText="1"/>
    </xf>
    <xf numFmtId="0" fontId="4" fillId="6" borderId="11"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28" fillId="0" borderId="18" xfId="0" applyFont="1" applyBorder="1" applyAlignment="1">
      <alignment horizontal="center" vertical="center"/>
    </xf>
    <xf numFmtId="0" fontId="28" fillId="0" borderId="19" xfId="0" applyFont="1" applyBorder="1" applyAlignment="1">
      <alignment horizontal="center" vertical="center"/>
    </xf>
    <xf numFmtId="0" fontId="28" fillId="0" borderId="20" xfId="0" applyFont="1" applyBorder="1" applyAlignment="1">
      <alignment horizontal="center" vertical="center"/>
    </xf>
    <xf numFmtId="0" fontId="36" fillId="0" borderId="23" xfId="1" applyFont="1" applyBorder="1" applyAlignment="1">
      <alignment horizontal="center" vertical="center"/>
    </xf>
    <xf numFmtId="0" fontId="20" fillId="0" borderId="24" xfId="0" applyFont="1" applyBorder="1" applyAlignment="1">
      <alignment horizontal="center" vertical="center"/>
    </xf>
    <xf numFmtId="0" fontId="20" fillId="0" borderId="25" xfId="0" applyFont="1" applyBorder="1" applyAlignment="1">
      <alignment horizontal="center" vertical="center"/>
    </xf>
    <xf numFmtId="0" fontId="21" fillId="0" borderId="18" xfId="0" applyFont="1" applyBorder="1" applyAlignment="1">
      <alignment horizontal="center" vertical="center" wrapText="1"/>
    </xf>
    <xf numFmtId="0" fontId="21" fillId="0" borderId="20"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22" xfId="0" applyFont="1" applyBorder="1" applyAlignment="1">
      <alignment horizontal="center" vertical="center" wrapText="1"/>
    </xf>
    <xf numFmtId="0" fontId="36" fillId="0" borderId="21" xfId="1" applyFont="1" applyBorder="1" applyAlignment="1">
      <alignment horizontal="center" vertical="center"/>
    </xf>
    <xf numFmtId="0" fontId="20" fillId="0" borderId="23" xfId="0" applyFont="1" applyBorder="1" applyAlignment="1">
      <alignment horizontal="center" vertical="center"/>
    </xf>
    <xf numFmtId="0" fontId="37" fillId="14" borderId="29" xfId="0" applyFont="1" applyFill="1" applyBorder="1" applyAlignment="1">
      <alignment horizontal="center" vertical="center"/>
    </xf>
    <xf numFmtId="0" fontId="37" fillId="14" borderId="49" xfId="0" applyFont="1" applyFill="1" applyBorder="1" applyAlignment="1">
      <alignment horizontal="center" vertical="center"/>
    </xf>
    <xf numFmtId="0" fontId="37" fillId="14" borderId="30" xfId="0" applyFont="1" applyFill="1" applyBorder="1" applyAlignment="1">
      <alignment horizontal="center" vertical="center"/>
    </xf>
    <xf numFmtId="164" fontId="47" fillId="4" borderId="6" xfId="0" applyNumberFormat="1" applyFont="1" applyFill="1" applyBorder="1" applyAlignment="1">
      <alignment horizontal="center" vertical="center"/>
    </xf>
    <xf numFmtId="164" fontId="47" fillId="4" borderId="39" xfId="0" applyNumberFormat="1" applyFont="1" applyFill="1" applyBorder="1" applyAlignment="1">
      <alignment horizontal="center" vertical="center"/>
    </xf>
    <xf numFmtId="0" fontId="25" fillId="2" borderId="0" xfId="0" applyFont="1" applyFill="1" applyAlignment="1">
      <alignment horizontal="center" vertical="center"/>
    </xf>
    <xf numFmtId="0" fontId="19" fillId="7" borderId="13" xfId="0" applyFont="1" applyFill="1" applyBorder="1" applyAlignment="1">
      <alignment horizontal="center"/>
    </xf>
    <xf numFmtId="0" fontId="19" fillId="7" borderId="27" xfId="0" applyFont="1" applyFill="1" applyBorder="1" applyAlignment="1">
      <alignment horizontal="center"/>
    </xf>
    <xf numFmtId="0" fontId="19" fillId="7" borderId="33" xfId="0" applyFont="1" applyFill="1" applyBorder="1" applyAlignment="1">
      <alignment horizontal="center"/>
    </xf>
    <xf numFmtId="0" fontId="20" fillId="6" borderId="18" xfId="0" applyFont="1" applyFill="1" applyBorder="1" applyAlignment="1">
      <alignment horizontal="center" vertical="center"/>
    </xf>
    <xf numFmtId="0" fontId="20" fillId="6" borderId="19" xfId="0" applyFont="1" applyFill="1" applyBorder="1" applyAlignment="1">
      <alignment horizontal="center" vertical="center"/>
    </xf>
    <xf numFmtId="0" fontId="20" fillId="6" borderId="20" xfId="0" applyFont="1" applyFill="1" applyBorder="1" applyAlignment="1">
      <alignment horizontal="center" vertical="center"/>
    </xf>
    <xf numFmtId="0" fontId="0" fillId="6" borderId="24" xfId="0" applyFill="1" applyBorder="1" applyAlignment="1">
      <alignment horizontal="center" vertical="center"/>
    </xf>
    <xf numFmtId="0" fontId="0" fillId="6" borderId="25" xfId="0" applyFill="1" applyBorder="1" applyAlignment="1">
      <alignment horizontal="center" vertical="center"/>
    </xf>
    <xf numFmtId="0" fontId="20" fillId="6" borderId="28" xfId="0" applyFont="1" applyFill="1" applyBorder="1" applyAlignment="1">
      <alignment horizontal="center" vertical="center"/>
    </xf>
    <xf numFmtId="0" fontId="0" fillId="0" borderId="0" xfId="0" applyAlignment="1">
      <alignment horizontal="center" vertical="center"/>
    </xf>
    <xf numFmtId="0" fontId="18" fillId="0" borderId="0" xfId="0" applyFont="1" applyAlignment="1">
      <alignment horizontal="center" vertical="center"/>
    </xf>
    <xf numFmtId="0" fontId="5" fillId="0" borderId="0" xfId="1" applyAlignment="1">
      <alignment horizontal="center" vertical="center"/>
    </xf>
    <xf numFmtId="0" fontId="24" fillId="0" borderId="18" xfId="0" applyFont="1" applyBorder="1" applyAlignment="1">
      <alignment horizontal="center" vertical="center"/>
    </xf>
    <xf numFmtId="0" fontId="24" fillId="0" borderId="20" xfId="0" applyFont="1" applyBorder="1" applyAlignment="1">
      <alignment horizontal="center" vertical="center"/>
    </xf>
    <xf numFmtId="0" fontId="24" fillId="0" borderId="23" xfId="0" applyFont="1" applyBorder="1" applyAlignment="1">
      <alignment horizontal="center" vertical="center"/>
    </xf>
    <xf numFmtId="0" fontId="24" fillId="0" borderId="25" xfId="0" applyFont="1" applyBorder="1" applyAlignment="1">
      <alignment horizontal="center" vertical="center"/>
    </xf>
    <xf numFmtId="0" fontId="23" fillId="0" borderId="18" xfId="0" applyFont="1" applyBorder="1" applyAlignment="1">
      <alignment horizontal="center" vertical="center"/>
    </xf>
    <xf numFmtId="0" fontId="23" fillId="0" borderId="20" xfId="0" applyFont="1" applyBorder="1" applyAlignment="1">
      <alignment horizontal="center" vertical="center"/>
    </xf>
    <xf numFmtId="0" fontId="23" fillId="0" borderId="23" xfId="0" applyFont="1" applyBorder="1" applyAlignment="1">
      <alignment horizontal="center" vertical="center"/>
    </xf>
    <xf numFmtId="0" fontId="23" fillId="0" borderId="25" xfId="0" applyFont="1" applyBorder="1" applyAlignment="1">
      <alignment horizontal="center" vertical="center"/>
    </xf>
    <xf numFmtId="0" fontId="10" fillId="0" borderId="18" xfId="0" applyFont="1" applyBorder="1" applyAlignment="1">
      <alignment horizontal="center" vertical="center"/>
    </xf>
    <xf numFmtId="0" fontId="10" fillId="0" borderId="19" xfId="0" applyFont="1" applyBorder="1" applyAlignment="1">
      <alignment horizontal="center" vertical="center"/>
    </xf>
    <xf numFmtId="0" fontId="10" fillId="0" borderId="20" xfId="0" applyFont="1" applyBorder="1" applyAlignment="1">
      <alignment horizontal="center" vertical="center"/>
    </xf>
    <xf numFmtId="0" fontId="10" fillId="0" borderId="21" xfId="0" applyFont="1" applyBorder="1" applyAlignment="1">
      <alignment horizontal="center" vertical="center"/>
    </xf>
    <xf numFmtId="0" fontId="10" fillId="0" borderId="0" xfId="0" applyFont="1" applyAlignment="1">
      <alignment horizontal="center" vertical="center"/>
    </xf>
    <xf numFmtId="0" fontId="10" fillId="0" borderId="22" xfId="0" applyFont="1" applyBorder="1" applyAlignment="1">
      <alignment horizontal="center" vertical="center"/>
    </xf>
    <xf numFmtId="0" fontId="10" fillId="0" borderId="23" xfId="0" applyFont="1" applyBorder="1" applyAlignment="1">
      <alignment horizontal="center" vertical="center"/>
    </xf>
    <xf numFmtId="0" fontId="10" fillId="0" borderId="24" xfId="0" applyFont="1" applyBorder="1" applyAlignment="1">
      <alignment horizontal="center" vertical="center"/>
    </xf>
    <xf numFmtId="0" fontId="10" fillId="0" borderId="25" xfId="0" applyFont="1" applyBorder="1" applyAlignment="1">
      <alignment horizontal="center" vertical="center"/>
    </xf>
    <xf numFmtId="0" fontId="19" fillId="2" borderId="1" xfId="0" applyFont="1" applyFill="1" applyBorder="1" applyAlignment="1">
      <alignment horizontal="center" vertical="center"/>
    </xf>
    <xf numFmtId="0" fontId="19" fillId="2" borderId="13" xfId="0" applyFont="1" applyFill="1" applyBorder="1" applyAlignment="1">
      <alignment horizontal="center" vertical="center"/>
    </xf>
    <xf numFmtId="0" fontId="19" fillId="2" borderId="27" xfId="0" applyFont="1" applyFill="1" applyBorder="1" applyAlignment="1">
      <alignment horizontal="center" vertical="center"/>
    </xf>
    <xf numFmtId="0" fontId="19" fillId="2" borderId="33" xfId="0" applyFont="1" applyFill="1" applyBorder="1" applyAlignment="1">
      <alignment horizontal="center" vertical="center"/>
    </xf>
    <xf numFmtId="0" fontId="17" fillId="0" borderId="28" xfId="0" applyFont="1" applyBorder="1" applyAlignment="1">
      <alignment horizontal="center" vertical="center"/>
    </xf>
    <xf numFmtId="0" fontId="17" fillId="0" borderId="0" xfId="0" applyFont="1" applyAlignment="1">
      <alignment horizontal="center" vertical="center"/>
    </xf>
    <xf numFmtId="0" fontId="17" fillId="20" borderId="53" xfId="0" applyFont="1" applyFill="1" applyBorder="1" applyAlignment="1">
      <alignment horizontal="center" vertical="center"/>
    </xf>
    <xf numFmtId="0" fontId="17" fillId="20" borderId="49" xfId="0" applyFont="1" applyFill="1" applyBorder="1" applyAlignment="1">
      <alignment horizontal="center" vertical="center"/>
    </xf>
    <xf numFmtId="0" fontId="28" fillId="0" borderId="23" xfId="0" applyFont="1" applyBorder="1" applyAlignment="1">
      <alignment horizontal="left" vertical="center"/>
    </xf>
    <xf numFmtId="0" fontId="28" fillId="0" borderId="24" xfId="0" applyFont="1" applyBorder="1" applyAlignment="1">
      <alignment horizontal="left" vertical="center"/>
    </xf>
    <xf numFmtId="0" fontId="28" fillId="0" borderId="25" xfId="0" applyFont="1" applyBorder="1" applyAlignment="1">
      <alignment horizontal="left" vertical="center"/>
    </xf>
    <xf numFmtId="0" fontId="28" fillId="0" borderId="21" xfId="0" applyFont="1" applyBorder="1" applyAlignment="1">
      <alignment horizontal="left" vertical="center"/>
    </xf>
    <xf numFmtId="0" fontId="28" fillId="0" borderId="0" xfId="0" applyFont="1" applyAlignment="1">
      <alignment horizontal="left" vertical="center"/>
    </xf>
    <xf numFmtId="0" fontId="28" fillId="0" borderId="22" xfId="0" applyFont="1" applyBorder="1" applyAlignment="1">
      <alignment horizontal="left" vertical="center"/>
    </xf>
    <xf numFmtId="0" fontId="16" fillId="0" borderId="18"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0" xfId="0" applyFont="1" applyAlignment="1">
      <alignment horizontal="center" vertical="center" wrapText="1"/>
    </xf>
    <xf numFmtId="0" fontId="16" fillId="0" borderId="22" xfId="0" applyFont="1" applyBorder="1" applyAlignment="1">
      <alignment horizontal="center" vertical="center" wrapText="1"/>
    </xf>
  </cellXfs>
  <cellStyles count="2">
    <cellStyle name="Hiperlink" xfId="1" builtinId="8"/>
    <cellStyle name="Normal" xfId="0" builtinId="0"/>
  </cellStyles>
  <dxfs count="3">
    <dxf>
      <font>
        <color theme="2" tint="-0.499984740745262"/>
      </font>
    </dxf>
    <dxf>
      <font>
        <color theme="0" tint="-0.14996795556505021"/>
      </font>
    </dxf>
    <dxf>
      <font>
        <strike val="0"/>
        <color theme="0" tint="-0.14996795556505021"/>
      </font>
    </dxf>
  </dxfs>
  <tableStyles count="0" defaultTableStyle="TableStyleMedium2" defaultPivotStyle="PivotStyleLight16"/>
  <colors>
    <mruColors>
      <color rgb="FFCC66FF"/>
      <color rgb="FFFF66FF"/>
      <color rgb="FF447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Drop" dropLines="2" dropStyle="combo" dx="22" fmlaLink="$D$3" fmlaRange="$F$3:$F$4" noThreeD="1" sel="1" val="0"/>
</file>

<file path=xl/ctrlProps/ctrlProp2.xml><?xml version="1.0" encoding="utf-8"?>
<formControlPr xmlns="http://schemas.microsoft.com/office/spreadsheetml/2009/9/main" objectType="Drop" dropLines="2" dropStyle="combo" dx="22" fmlaLink="$D$4" fmlaRange="$F$3:$F$4"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5" Type="http://schemas.openxmlformats.org/officeDocument/2006/relationships/image" Target="../media/image3.jpeg"/><Relationship Id="rId4" Type="http://schemas.openxmlformats.org/officeDocument/2006/relationships/image" Target="../media/image7.JPG"/></Relationships>
</file>

<file path=xl/drawings/_rels/drawing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4.xml.rels><?xml version="1.0" encoding="UTF-8" standalone="yes"?>
<Relationships xmlns="http://schemas.openxmlformats.org/package/2006/relationships"><Relationship Id="rId1" Type="http://schemas.openxmlformats.org/officeDocument/2006/relationships/image" Target="../media/image9.jpg"/></Relationships>
</file>

<file path=xl/drawings/_rels/drawing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6.xml.rels><?xml version="1.0" encoding="UTF-8" standalone="yes"?>
<Relationships xmlns="http://schemas.openxmlformats.org/package/2006/relationships"><Relationship Id="rId3" Type="http://schemas.openxmlformats.org/officeDocument/2006/relationships/image" Target="../media/image9.jpg"/><Relationship Id="rId2" Type="http://schemas.openxmlformats.org/officeDocument/2006/relationships/image" Target="../media/image12.JPG"/><Relationship Id="rId1" Type="http://schemas.openxmlformats.org/officeDocument/2006/relationships/image" Target="../media/image11.JPG"/></Relationships>
</file>

<file path=xl/drawings/_rels/drawing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3.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4154</xdr:rowOff>
    </xdr:from>
    <xdr:to>
      <xdr:col>2</xdr:col>
      <xdr:colOff>634999</xdr:colOff>
      <xdr:row>5</xdr:row>
      <xdr:rowOff>1611399</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7287"/>
        <a:stretch/>
      </xdr:blipFill>
      <xdr:spPr>
        <a:xfrm>
          <a:off x="1857375" y="2433029"/>
          <a:ext cx="1817687" cy="1607245"/>
        </a:xfrm>
        <a:prstGeom prst="rect">
          <a:avLst/>
        </a:prstGeom>
      </xdr:spPr>
    </xdr:pic>
    <xdr:clientData/>
  </xdr:twoCellAnchor>
  <xdr:twoCellAnchor editAs="oneCell">
    <xdr:from>
      <xdr:col>2</xdr:col>
      <xdr:colOff>841375</xdr:colOff>
      <xdr:row>5</xdr:row>
      <xdr:rowOff>39688</xdr:rowOff>
    </xdr:from>
    <xdr:to>
      <xdr:col>3</xdr:col>
      <xdr:colOff>1190624</xdr:colOff>
      <xdr:row>5</xdr:row>
      <xdr:rowOff>1555749</xdr:rowOff>
    </xdr:to>
    <xdr:pic>
      <xdr:nvPicPr>
        <xdr:cNvPr id="5" name="Imagem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cstate="print">
          <a:clrChange>
            <a:clrFrom>
              <a:srgbClr val="E8E9EB"/>
            </a:clrFrom>
            <a:clrTo>
              <a:srgbClr val="E8E9EB">
                <a:alpha val="0"/>
              </a:srgbClr>
            </a:clrTo>
          </a:clrChange>
          <a:extLst>
            <a:ext uri="{28A0092B-C50C-407E-A947-70E740481C1C}">
              <a14:useLocalDpi xmlns:a14="http://schemas.microsoft.com/office/drawing/2010/main" val="0"/>
            </a:ext>
          </a:extLst>
        </a:blip>
        <a:srcRect l="17239" r="18405" b="63390"/>
        <a:stretch/>
      </xdr:blipFill>
      <xdr:spPr>
        <a:xfrm>
          <a:off x="3881438" y="2468563"/>
          <a:ext cx="2301874" cy="1516061"/>
        </a:xfrm>
        <a:prstGeom prst="rect">
          <a:avLst/>
        </a:prstGeom>
      </xdr:spPr>
    </xdr:pic>
    <xdr:clientData/>
  </xdr:twoCellAnchor>
  <xdr:twoCellAnchor editAs="oneCell">
    <xdr:from>
      <xdr:col>3</xdr:col>
      <xdr:colOff>1627189</xdr:colOff>
      <xdr:row>5</xdr:row>
      <xdr:rowOff>23814</xdr:rowOff>
    </xdr:from>
    <xdr:to>
      <xdr:col>4</xdr:col>
      <xdr:colOff>1288763</xdr:colOff>
      <xdr:row>5</xdr:row>
      <xdr:rowOff>1595437</xdr:rowOff>
    </xdr:to>
    <xdr:pic>
      <xdr:nvPicPr>
        <xdr:cNvPr id="6" name="Imagem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cstate="print">
          <a:clrChange>
            <a:clrFrom>
              <a:srgbClr val="E8E9EB"/>
            </a:clrFrom>
            <a:clrTo>
              <a:srgbClr val="E8E9EB">
                <a:alpha val="0"/>
              </a:srgbClr>
            </a:clrTo>
          </a:clrChange>
          <a:extLst>
            <a:ext uri="{28A0092B-C50C-407E-A947-70E740481C1C}">
              <a14:useLocalDpi xmlns:a14="http://schemas.microsoft.com/office/drawing/2010/main" val="0"/>
            </a:ext>
          </a:extLst>
        </a:blip>
        <a:srcRect l="4324" t="46346" r="917" b="5160"/>
        <a:stretch/>
      </xdr:blipFill>
      <xdr:spPr>
        <a:xfrm>
          <a:off x="6619877" y="2452689"/>
          <a:ext cx="2773074" cy="1571623"/>
        </a:xfrm>
        <a:prstGeom prst="rect">
          <a:avLst/>
        </a:prstGeom>
      </xdr:spPr>
    </xdr:pic>
    <xdr:clientData/>
  </xdr:twoCellAnchor>
  <xdr:twoCellAnchor editAs="oneCell">
    <xdr:from>
      <xdr:col>5</xdr:col>
      <xdr:colOff>114301</xdr:colOff>
      <xdr:row>11</xdr:row>
      <xdr:rowOff>57150</xdr:rowOff>
    </xdr:from>
    <xdr:to>
      <xdr:col>9</xdr:col>
      <xdr:colOff>57150</xdr:colOff>
      <xdr:row>20</xdr:row>
      <xdr:rowOff>66675</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3" cstate="print">
          <a:clrChange>
            <a:clrFrom>
              <a:srgbClr val="EBF0F4"/>
            </a:clrFrom>
            <a:clrTo>
              <a:srgbClr val="EBF0F4">
                <a:alpha val="0"/>
              </a:srgbClr>
            </a:clrTo>
          </a:clrChange>
          <a:extLst>
            <a:ext uri="{28A0092B-C50C-407E-A947-70E740481C1C}">
              <a14:useLocalDpi xmlns:a14="http://schemas.microsoft.com/office/drawing/2010/main" val="0"/>
            </a:ext>
          </a:extLst>
        </a:blip>
        <a:srcRect l="23682" t="48230" r="26500" b="29894"/>
        <a:stretch/>
      </xdr:blipFill>
      <xdr:spPr>
        <a:xfrm>
          <a:off x="9886951" y="5695950"/>
          <a:ext cx="4600574" cy="2047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2886075</xdr:colOff>
      <xdr:row>7</xdr:row>
      <xdr:rowOff>67732</xdr:rowOff>
    </xdr:from>
    <xdr:to>
      <xdr:col>2</xdr:col>
      <xdr:colOff>991430</xdr:colOff>
      <xdr:row>7</xdr:row>
      <xdr:rowOff>1734607</xdr:rowOff>
    </xdr:to>
    <xdr:pic>
      <xdr:nvPicPr>
        <xdr:cNvPr id="7" name="Imagem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86075" y="3422649"/>
          <a:ext cx="3439355" cy="1666875"/>
        </a:xfrm>
        <a:prstGeom prst="rect">
          <a:avLst/>
        </a:prstGeom>
      </xdr:spPr>
    </xdr:pic>
    <xdr:clientData/>
  </xdr:twoCellAnchor>
  <xdr:twoCellAnchor editAs="oneCell">
    <xdr:from>
      <xdr:col>0</xdr:col>
      <xdr:colOff>45507</xdr:colOff>
      <xdr:row>7</xdr:row>
      <xdr:rowOff>39158</xdr:rowOff>
    </xdr:from>
    <xdr:to>
      <xdr:col>0</xdr:col>
      <xdr:colOff>2683932</xdr:colOff>
      <xdr:row>7</xdr:row>
      <xdr:rowOff>1753658</xdr:rowOff>
    </xdr:to>
    <xdr:pic>
      <xdr:nvPicPr>
        <xdr:cNvPr id="9" name="Imagem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507" y="3394075"/>
          <a:ext cx="2638425" cy="1714500"/>
        </a:xfrm>
        <a:prstGeom prst="rect">
          <a:avLst/>
        </a:prstGeom>
      </xdr:spPr>
    </xdr:pic>
    <xdr:clientData/>
  </xdr:twoCellAnchor>
  <xdr:twoCellAnchor editAs="oneCell">
    <xdr:from>
      <xdr:col>0</xdr:col>
      <xdr:colOff>0</xdr:colOff>
      <xdr:row>27</xdr:row>
      <xdr:rowOff>52916</xdr:rowOff>
    </xdr:from>
    <xdr:to>
      <xdr:col>2</xdr:col>
      <xdr:colOff>3217333</xdr:colOff>
      <xdr:row>40</xdr:row>
      <xdr:rowOff>75331</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2211" b="9609"/>
        <a:stretch/>
      </xdr:blipFill>
      <xdr:spPr>
        <a:xfrm>
          <a:off x="0" y="12393083"/>
          <a:ext cx="8551333" cy="2784665"/>
        </a:xfrm>
        <a:prstGeom prst="rect">
          <a:avLst/>
        </a:prstGeom>
      </xdr:spPr>
    </xdr:pic>
    <xdr:clientData/>
  </xdr:twoCellAnchor>
  <xdr:twoCellAnchor editAs="oneCell">
    <xdr:from>
      <xdr:col>2</xdr:col>
      <xdr:colOff>1725085</xdr:colOff>
      <xdr:row>7</xdr:row>
      <xdr:rowOff>21165</xdr:rowOff>
    </xdr:from>
    <xdr:to>
      <xdr:col>3</xdr:col>
      <xdr:colOff>2455334</xdr:colOff>
      <xdr:row>7</xdr:row>
      <xdr:rowOff>1756832</xdr:rowOff>
    </xdr:to>
    <xdr:pic>
      <xdr:nvPicPr>
        <xdr:cNvPr id="6" name="Imagem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659" r="35303"/>
        <a:stretch/>
      </xdr:blipFill>
      <xdr:spPr>
        <a:xfrm>
          <a:off x="6625168" y="3376082"/>
          <a:ext cx="4444999" cy="1735667"/>
        </a:xfrm>
        <a:prstGeom prst="rect">
          <a:avLst/>
        </a:prstGeom>
      </xdr:spPr>
    </xdr:pic>
    <xdr:clientData/>
  </xdr:twoCellAnchor>
  <xdr:twoCellAnchor editAs="oneCell">
    <xdr:from>
      <xdr:col>3</xdr:col>
      <xdr:colOff>2973916</xdr:colOff>
      <xdr:row>7</xdr:row>
      <xdr:rowOff>222249</xdr:rowOff>
    </xdr:from>
    <xdr:to>
      <xdr:col>5</xdr:col>
      <xdr:colOff>1121834</xdr:colOff>
      <xdr:row>7</xdr:row>
      <xdr:rowOff>1629833</xdr:rowOff>
    </xdr:to>
    <xdr:pic>
      <xdr:nvPicPr>
        <xdr:cNvPr id="2" name="Imagem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5" cstate="print">
          <a:clrChange>
            <a:clrFrom>
              <a:srgbClr val="EDEDEF"/>
            </a:clrFrom>
            <a:clrTo>
              <a:srgbClr val="EDEDEF">
                <a:alpha val="0"/>
              </a:srgbClr>
            </a:clrTo>
          </a:clrChange>
          <a:extLst>
            <a:ext uri="{28A0092B-C50C-407E-A947-70E740481C1C}">
              <a14:useLocalDpi xmlns:a14="http://schemas.microsoft.com/office/drawing/2010/main" val="0"/>
            </a:ext>
          </a:extLst>
        </a:blip>
        <a:srcRect l="26151" t="49582" r="28341" b="31915"/>
        <a:stretch/>
      </xdr:blipFill>
      <xdr:spPr>
        <a:xfrm>
          <a:off x="11588749" y="3577166"/>
          <a:ext cx="3217335" cy="140758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19050</xdr:colOff>
          <xdr:row>2</xdr:row>
          <xdr:rowOff>104775</xdr:rowOff>
        </xdr:from>
        <xdr:to>
          <xdr:col>3</xdr:col>
          <xdr:colOff>3067050</xdr:colOff>
          <xdr:row>2</xdr:row>
          <xdr:rowOff>314325</xdr:rowOff>
        </xdr:to>
        <xdr:sp macro="" textlink="">
          <xdr:nvSpPr>
            <xdr:cNvPr id="2052" name="Drop Down 4" descr="Escolha entre os valores 1 ou 2 - 1 tap ou 2 taps"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xdr:row>
          <xdr:rowOff>57150</xdr:rowOff>
        </xdr:from>
        <xdr:to>
          <xdr:col>3</xdr:col>
          <xdr:colOff>3076575</xdr:colOff>
          <xdr:row>3</xdr:row>
          <xdr:rowOff>295275</xdr:rowOff>
        </xdr:to>
        <xdr:sp macro="" textlink="">
          <xdr:nvSpPr>
            <xdr:cNvPr id="2057" name="Drop Down 9" descr="Escolha entre os valores 1 ou 2 - 1 tap ou 2 taps"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1</xdr:row>
      <xdr:rowOff>17280</xdr:rowOff>
    </xdr:from>
    <xdr:to>
      <xdr:col>13</xdr:col>
      <xdr:colOff>28575</xdr:colOff>
      <xdr:row>63</xdr:row>
      <xdr:rowOff>142875</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197" t="6428" r="2942" b="2326"/>
        <a:stretch/>
      </xdr:blipFill>
      <xdr:spPr>
        <a:xfrm>
          <a:off x="19050" y="503055"/>
          <a:ext cx="7934325" cy="11936595"/>
        </a:xfrm>
        <a:prstGeom prst="rect">
          <a:avLst/>
        </a:prstGeom>
      </xdr:spPr>
    </xdr:pic>
    <xdr:clientData/>
  </xdr:twoCellAnchor>
  <xdr:twoCellAnchor editAs="oneCell">
    <xdr:from>
      <xdr:col>0</xdr:col>
      <xdr:colOff>0</xdr:colOff>
      <xdr:row>66</xdr:row>
      <xdr:rowOff>0</xdr:rowOff>
    </xdr:from>
    <xdr:to>
      <xdr:col>11</xdr:col>
      <xdr:colOff>257175</xdr:colOff>
      <xdr:row>85</xdr:row>
      <xdr:rowOff>9526</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82" t="17158" r="4535" b="25994"/>
        <a:stretch/>
      </xdr:blipFill>
      <xdr:spPr>
        <a:xfrm>
          <a:off x="0" y="12868275"/>
          <a:ext cx="6962775" cy="36290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6</xdr:col>
      <xdr:colOff>38100</xdr:colOff>
      <xdr:row>51</xdr:row>
      <xdr:rowOff>9526</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882" t="17158" r="4535" b="25994"/>
        <a:stretch/>
      </xdr:blipFill>
      <xdr:spPr>
        <a:xfrm>
          <a:off x="0" y="6743700"/>
          <a:ext cx="6962775" cy="36290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38100</xdr:colOff>
      <xdr:row>1</xdr:row>
      <xdr:rowOff>19050</xdr:rowOff>
    </xdr:from>
    <xdr:to>
      <xdr:col>14</xdr:col>
      <xdr:colOff>733425</xdr:colOff>
      <xdr:row>13</xdr:row>
      <xdr:rowOff>1</xdr:rowOff>
    </xdr:to>
    <xdr:pic>
      <xdr:nvPicPr>
        <xdr:cNvPr id="3" name="Imagem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212" b="1055"/>
        <a:stretch/>
      </xdr:blipFill>
      <xdr:spPr>
        <a:xfrm>
          <a:off x="7010400" y="581025"/>
          <a:ext cx="5953125" cy="5686426"/>
        </a:xfrm>
        <a:prstGeom prst="rect">
          <a:avLst/>
        </a:prstGeom>
      </xdr:spPr>
    </xdr:pic>
    <xdr:clientData/>
  </xdr:twoCellAnchor>
  <xdr:twoCellAnchor>
    <xdr:from>
      <xdr:col>0</xdr:col>
      <xdr:colOff>285750</xdr:colOff>
      <xdr:row>12</xdr:row>
      <xdr:rowOff>504825</xdr:rowOff>
    </xdr:from>
    <xdr:to>
      <xdr:col>7</xdr:col>
      <xdr:colOff>38100</xdr:colOff>
      <xdr:row>17</xdr:row>
      <xdr:rowOff>0</xdr:rowOff>
    </xdr:to>
    <xdr:sp macro="" textlink="">
      <xdr:nvSpPr>
        <xdr:cNvPr id="19" name="Seta: Curva para Cima 18">
          <a:extLst>
            <a:ext uri="{FF2B5EF4-FFF2-40B4-BE49-F238E27FC236}">
              <a16:creationId xmlns:a16="http://schemas.microsoft.com/office/drawing/2014/main" id="{00000000-0008-0000-0400-000013000000}"/>
            </a:ext>
          </a:extLst>
        </xdr:cNvPr>
        <xdr:cNvSpPr/>
      </xdr:nvSpPr>
      <xdr:spPr>
        <a:xfrm>
          <a:off x="285750" y="6229350"/>
          <a:ext cx="6296025" cy="1076325"/>
        </a:xfrm>
        <a:prstGeom prst="curvedUpArrow">
          <a:avLst/>
        </a:prstGeom>
        <a:solidFill>
          <a:srgbClr val="4472C4">
            <a:alpha val="45098"/>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solidFill>
              <a:schemeClr val="tx1"/>
            </a:solidFill>
          </a:endParaRPr>
        </a:p>
      </xdr:txBody>
    </xdr:sp>
    <xdr:clientData/>
  </xdr:twoCellAnchor>
  <xdr:twoCellAnchor>
    <xdr:from>
      <xdr:col>4</xdr:col>
      <xdr:colOff>314325</xdr:colOff>
      <xdr:row>12</xdr:row>
      <xdr:rowOff>485775</xdr:rowOff>
    </xdr:from>
    <xdr:to>
      <xdr:col>13</xdr:col>
      <xdr:colOff>47625</xdr:colOff>
      <xdr:row>16</xdr:row>
      <xdr:rowOff>171450</xdr:rowOff>
    </xdr:to>
    <xdr:sp macro="" textlink="">
      <xdr:nvSpPr>
        <xdr:cNvPr id="20" name="Seta: Curva para Cima 19">
          <a:extLst>
            <a:ext uri="{FF2B5EF4-FFF2-40B4-BE49-F238E27FC236}">
              <a16:creationId xmlns:a16="http://schemas.microsoft.com/office/drawing/2014/main" id="{00000000-0008-0000-0400-000014000000}"/>
            </a:ext>
          </a:extLst>
        </xdr:cNvPr>
        <xdr:cNvSpPr/>
      </xdr:nvSpPr>
      <xdr:spPr>
        <a:xfrm>
          <a:off x="4238625" y="6210300"/>
          <a:ext cx="6296025" cy="1076325"/>
        </a:xfrm>
        <a:prstGeom prst="curvedUpArrow">
          <a:avLst/>
        </a:prstGeom>
        <a:solidFill>
          <a:schemeClr val="accent6">
            <a:lumMod val="50000"/>
            <a:alpha val="45098"/>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solidFill>
              <a:schemeClr val="tx1"/>
            </a:solidFill>
          </a:endParaRPr>
        </a:p>
      </xdr:txBody>
    </xdr:sp>
    <xdr:clientData/>
  </xdr:twoCellAnchor>
  <xdr:twoCellAnchor editAs="oneCell">
    <xdr:from>
      <xdr:col>0</xdr:col>
      <xdr:colOff>171450</xdr:colOff>
      <xdr:row>27</xdr:row>
      <xdr:rowOff>247650</xdr:rowOff>
    </xdr:from>
    <xdr:to>
      <xdr:col>6</xdr:col>
      <xdr:colOff>161925</xdr:colOff>
      <xdr:row>44</xdr:row>
      <xdr:rowOff>104776</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82" t="17158" r="4535" b="25994"/>
        <a:stretch/>
      </xdr:blipFill>
      <xdr:spPr>
        <a:xfrm>
          <a:off x="171450" y="10153650"/>
          <a:ext cx="6962775" cy="36290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76200</xdr:colOff>
      <xdr:row>0</xdr:row>
      <xdr:rowOff>209550</xdr:rowOff>
    </xdr:from>
    <xdr:to>
      <xdr:col>16</xdr:col>
      <xdr:colOff>504825</xdr:colOff>
      <xdr:row>13</xdr:row>
      <xdr:rowOff>262564</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00" y="209550"/>
          <a:ext cx="5562600" cy="4482139"/>
        </a:xfrm>
        <a:prstGeom prst="rect">
          <a:avLst/>
        </a:prstGeom>
      </xdr:spPr>
    </xdr:pic>
    <xdr:clientData/>
  </xdr:twoCellAnchor>
  <xdr:twoCellAnchor editAs="oneCell">
    <xdr:from>
      <xdr:col>0</xdr:col>
      <xdr:colOff>9525</xdr:colOff>
      <xdr:row>15</xdr:row>
      <xdr:rowOff>104774</xdr:rowOff>
    </xdr:from>
    <xdr:to>
      <xdr:col>8</xdr:col>
      <xdr:colOff>5701</xdr:colOff>
      <xdr:row>42</xdr:row>
      <xdr:rowOff>8565</xdr:rowOff>
    </xdr:to>
    <xdr:pic>
      <xdr:nvPicPr>
        <xdr:cNvPr id="6" name="Imagem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 y="5143499"/>
          <a:ext cx="6987526" cy="6190291"/>
        </a:xfrm>
        <a:prstGeom prst="rect">
          <a:avLst/>
        </a:prstGeom>
      </xdr:spPr>
    </xdr:pic>
    <xdr:clientData/>
  </xdr:twoCellAnchor>
  <xdr:twoCellAnchor editAs="oneCell">
    <xdr:from>
      <xdr:col>0</xdr:col>
      <xdr:colOff>161925</xdr:colOff>
      <xdr:row>41</xdr:row>
      <xdr:rowOff>47625</xdr:rowOff>
    </xdr:from>
    <xdr:to>
      <xdr:col>8</xdr:col>
      <xdr:colOff>133350</xdr:colOff>
      <xdr:row>60</xdr:row>
      <xdr:rowOff>57151</xdr:rowOff>
    </xdr:to>
    <xdr:pic>
      <xdr:nvPicPr>
        <xdr:cNvPr id="8" name="Imagem 7">
          <a:extLst>
            <a:ext uri="{FF2B5EF4-FFF2-40B4-BE49-F238E27FC236}">
              <a16:creationId xmlns:a16="http://schemas.microsoft.com/office/drawing/2014/main" id="{00000000-0008-0000-05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882" t="17158" r="4535" b="25994"/>
        <a:stretch/>
      </xdr:blipFill>
      <xdr:spPr>
        <a:xfrm>
          <a:off x="161925" y="11182350"/>
          <a:ext cx="6962775" cy="36290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285751</xdr:colOff>
      <xdr:row>35</xdr:row>
      <xdr:rowOff>99849</xdr:rowOff>
    </xdr:to>
    <xdr:pic>
      <xdr:nvPicPr>
        <xdr:cNvPr id="3" name="Imagem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5772150" cy="6767349"/>
        </a:xfrm>
        <a:prstGeom prst="rect">
          <a:avLst/>
        </a:prstGeom>
      </xdr:spPr>
    </xdr:pic>
    <xdr:clientData/>
  </xdr:twoCellAnchor>
  <xdr:twoCellAnchor editAs="oneCell">
    <xdr:from>
      <xdr:col>0</xdr:col>
      <xdr:colOff>0</xdr:colOff>
      <xdr:row>39</xdr:row>
      <xdr:rowOff>0</xdr:rowOff>
    </xdr:from>
    <xdr:to>
      <xdr:col>11</xdr:col>
      <xdr:colOff>257175</xdr:colOff>
      <xdr:row>58</xdr:row>
      <xdr:rowOff>9526</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82" t="17158" r="4535" b="25994"/>
        <a:stretch/>
      </xdr:blipFill>
      <xdr:spPr>
        <a:xfrm>
          <a:off x="0" y="7429500"/>
          <a:ext cx="6962775" cy="3629026"/>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oncoto.org/arquivos/awg_definitivo.pdf" TargetMode="External"/><Relationship Id="rId13" Type="http://schemas.openxmlformats.org/officeDocument/2006/relationships/hyperlink" Target="https://www.youtube.com/watch?v=nD051vOFTCs&amp;list=PLO5gEaTNW_82c-o-45uq5F_m64LhEcwHn&amp;ab_channel=OficinaTemMilMacetes" TargetMode="External"/><Relationship Id="rId3" Type="http://schemas.openxmlformats.org/officeDocument/2006/relationships/hyperlink" Target="https://www.youtube.com/@universalismoramatis" TargetMode="External"/><Relationship Id="rId7" Type="http://schemas.openxmlformats.org/officeDocument/2006/relationships/hyperlink" Target="https://www.youtube.com/watch?v=Yb_1FRnlCO4&amp;list=PLO5gEaTNW_82c-o-45uq5F_m64LhEcwHn&amp;index=6&amp;ab_channel=OficinaTemMilMacetes" TargetMode="External"/><Relationship Id="rId12" Type="http://schemas.openxmlformats.org/officeDocument/2006/relationships/hyperlink" Target="https://www.newtoncbraga.com.br/index.php/iot/52-artigos-tecnicos/artigos-diversos/10414-enrolamento-de-pequenos-transformadores-e-bobinas-art2369.html" TargetMode="External"/><Relationship Id="rId2" Type="http://schemas.openxmlformats.org/officeDocument/2006/relationships/hyperlink" Target="https://consciencial.org/" TargetMode="External"/><Relationship Id="rId1" Type="http://schemas.openxmlformats.org/officeDocument/2006/relationships/hyperlink" Target="https://seulivropublicado.com.br/" TargetMode="External"/><Relationship Id="rId6" Type="http://schemas.openxmlformats.org/officeDocument/2006/relationships/hyperlink" Target="https://www.youtube.com/@professorpardalton" TargetMode="External"/><Relationship Id="rId11" Type="http://schemas.openxmlformats.org/officeDocument/2006/relationships/hyperlink" Target="https://www.professorpetry.com.br/Ensino/Projeto_Indutores/Tabela_de_fios_esmaltados.pdf" TargetMode="External"/><Relationship Id="rId5" Type="http://schemas.openxmlformats.org/officeDocument/2006/relationships/hyperlink" Target="https://www.youtube.com/@publiqueseulivrogratis" TargetMode="External"/><Relationship Id="rId15" Type="http://schemas.openxmlformats.org/officeDocument/2006/relationships/drawing" Target="../drawings/drawing1.xml"/><Relationship Id="rId10" Type="http://schemas.openxmlformats.org/officeDocument/2006/relationships/hyperlink" Target="https://www.youtube.com/@professorpardalton" TargetMode="External"/><Relationship Id="rId4" Type="http://schemas.openxmlformats.org/officeDocument/2006/relationships/hyperlink" Target="https://www.youtube.com/@daltonroque" TargetMode="External"/><Relationship Id="rId9" Type="http://schemas.openxmlformats.org/officeDocument/2006/relationships/hyperlink" Target="http://www.py2bbs.qsl.br/calc_transf.php" TargetMode="External"/><Relationship Id="rId1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youtube.com/@Electrolab-Eletronica" TargetMode="External"/><Relationship Id="rId13" Type="http://schemas.openxmlformats.org/officeDocument/2006/relationships/ctrlProp" Target="../ctrlProps/ctrlProp2.xml"/><Relationship Id="rId3" Type="http://schemas.openxmlformats.org/officeDocument/2006/relationships/hyperlink" Target="https://www.youtube.com/@universalismoramatis" TargetMode="External"/><Relationship Id="rId7" Type="http://schemas.openxmlformats.org/officeDocument/2006/relationships/hyperlink" Target="https://tessinminas.com.br/wp-content/uploads/2019/12/lamina-transformadores.pdf" TargetMode="External"/><Relationship Id="rId12" Type="http://schemas.openxmlformats.org/officeDocument/2006/relationships/ctrlProp" Target="../ctrlProps/ctrlProp1.xml"/><Relationship Id="rId2" Type="http://schemas.openxmlformats.org/officeDocument/2006/relationships/hyperlink" Target="https://consciencial.org/" TargetMode="External"/><Relationship Id="rId1" Type="http://schemas.openxmlformats.org/officeDocument/2006/relationships/hyperlink" Target="https://seulivropublicado.com.br/" TargetMode="External"/><Relationship Id="rId6" Type="http://schemas.openxmlformats.org/officeDocument/2006/relationships/hyperlink" Target="https://www.youtube.com/@professorpardalton" TargetMode="External"/><Relationship Id="rId11" Type="http://schemas.openxmlformats.org/officeDocument/2006/relationships/vmlDrawing" Target="../drawings/vmlDrawing1.vml"/><Relationship Id="rId5" Type="http://schemas.openxmlformats.org/officeDocument/2006/relationships/hyperlink" Target="https://www.youtube.com/@publiqueseulivrogratis" TargetMode="External"/><Relationship Id="rId10" Type="http://schemas.openxmlformats.org/officeDocument/2006/relationships/drawing" Target="../drawings/drawing2.xml"/><Relationship Id="rId4" Type="http://schemas.openxmlformats.org/officeDocument/2006/relationships/hyperlink" Target="https://www.youtube.com/@daltonroque" TargetMode="External"/><Relationship Id="rId9" Type="http://schemas.openxmlformats.org/officeDocument/2006/relationships/printerSettings" Target="../printerSettings/printerSettings2.bin"/><Relationship Id="rId1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youtube.com/@oficinatemmilmacete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cswsp.com.br/" TargetMode="External"/><Relationship Id="rId2" Type="http://schemas.openxmlformats.org/officeDocument/2006/relationships/hyperlink" Target="https://www.sarloplasticos.com.br/carreteis" TargetMode="External"/><Relationship Id="rId1" Type="http://schemas.openxmlformats.org/officeDocument/2006/relationships/hyperlink" Target="https://www.ricabens.com.br/carreteis-para-transformadores.php"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hyperlink" Target="https://lista.mercadolivre.com.br/carretel-pl%C3%A1tico-transformadores"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40539-1F10-4B5D-9376-225F21C9255A}">
  <sheetPr>
    <pageSetUpPr fitToPage="1"/>
  </sheetPr>
  <dimension ref="A1:I46"/>
  <sheetViews>
    <sheetView showGridLines="0" tabSelected="1" zoomScaleNormal="100" workbookViewId="0">
      <selection activeCell="B3" sqref="B3"/>
    </sheetView>
  </sheetViews>
  <sheetFormatPr defaultRowHeight="15" x14ac:dyDescent="0.25"/>
  <cols>
    <col min="1" max="1" width="30.7109375" style="2" customWidth="1"/>
    <col min="2" max="2" width="17.7109375" style="2" customWidth="1"/>
    <col min="3" max="3" width="29.28515625" style="2" customWidth="1"/>
    <col min="4" max="4" width="46.7109375" style="2" bestFit="1" customWidth="1"/>
    <col min="5" max="5" width="22.140625" style="3" customWidth="1"/>
    <col min="6" max="6" width="2.5703125" style="3" customWidth="1"/>
    <col min="7" max="9" width="22.42578125" style="2" customWidth="1"/>
    <col min="10" max="16384" width="9.140625" style="2"/>
  </cols>
  <sheetData>
    <row r="1" spans="1:9" ht="39" customHeight="1" thickBot="1" x14ac:dyDescent="0.3">
      <c r="A1" s="187" t="s">
        <v>38</v>
      </c>
      <c r="B1" s="188"/>
      <c r="C1" s="188"/>
      <c r="D1" s="188"/>
      <c r="E1" s="189"/>
      <c r="F1" s="28"/>
    </row>
    <row r="2" spans="1:9" ht="75" customHeight="1" thickBot="1" x14ac:dyDescent="0.3">
      <c r="A2" s="9" t="s">
        <v>37</v>
      </c>
      <c r="B2" s="192" t="s">
        <v>208</v>
      </c>
      <c r="C2" s="192"/>
      <c r="D2" s="192"/>
      <c r="E2" s="193"/>
      <c r="F2" s="29"/>
    </row>
    <row r="3" spans="1:9" ht="36" customHeight="1" x14ac:dyDescent="0.25">
      <c r="A3" s="96" t="s">
        <v>0</v>
      </c>
      <c r="B3" s="56">
        <v>124</v>
      </c>
      <c r="C3" s="216" t="s">
        <v>209</v>
      </c>
      <c r="D3" s="216"/>
      <c r="E3" s="217"/>
      <c r="F3" s="30"/>
    </row>
    <row r="4" spans="1:9" ht="36" customHeight="1" thickBot="1" x14ac:dyDescent="0.3">
      <c r="A4" s="97" t="s">
        <v>1</v>
      </c>
      <c r="B4" s="57">
        <v>14</v>
      </c>
      <c r="C4" s="218" t="s">
        <v>195</v>
      </c>
      <c r="D4" s="218"/>
      <c r="E4" s="219"/>
      <c r="F4" s="30"/>
    </row>
    <row r="5" spans="1:9" ht="5.25" customHeight="1" thickBot="1" x14ac:dyDescent="0.3">
      <c r="A5" s="145"/>
      <c r="B5" s="146"/>
      <c r="C5" s="146"/>
      <c r="D5" s="146"/>
      <c r="E5" s="40"/>
    </row>
    <row r="6" spans="1:9" ht="128.25" customHeight="1" thickBot="1" x14ac:dyDescent="0.3">
      <c r="A6" s="16" t="s">
        <v>4</v>
      </c>
      <c r="B6" s="15"/>
      <c r="C6" s="13"/>
      <c r="D6" s="14"/>
      <c r="E6" s="39"/>
      <c r="F6" s="2"/>
      <c r="G6" s="207" t="s">
        <v>150</v>
      </c>
      <c r="H6" s="208"/>
      <c r="I6" s="209"/>
    </row>
    <row r="7" spans="1:9" ht="27" customHeight="1" x14ac:dyDescent="0.25">
      <c r="A7" s="10" t="s">
        <v>36</v>
      </c>
      <c r="B7" s="11" t="s">
        <v>7</v>
      </c>
      <c r="C7" s="12" t="s">
        <v>35</v>
      </c>
      <c r="D7" s="226" t="s">
        <v>52</v>
      </c>
      <c r="E7" s="227"/>
      <c r="F7" s="31"/>
      <c r="G7" s="23" t="s">
        <v>134</v>
      </c>
      <c r="H7" s="22" t="s">
        <v>135</v>
      </c>
      <c r="I7" s="24" t="s">
        <v>136</v>
      </c>
    </row>
    <row r="8" spans="1:9" ht="48" customHeight="1" thickBot="1" x14ac:dyDescent="0.3">
      <c r="A8" s="58">
        <v>2.29</v>
      </c>
      <c r="B8" s="57">
        <v>2.4900000000000002</v>
      </c>
      <c r="C8" s="118">
        <f>A8*B8</f>
        <v>5.7021000000000006</v>
      </c>
      <c r="D8" s="228"/>
      <c r="E8" s="229"/>
      <c r="F8" s="31"/>
      <c r="G8" s="25">
        <f>TensaoPrim/TensaoSec</f>
        <v>8.8571428571428577</v>
      </c>
      <c r="H8" s="26">
        <f>NumEspirasPrim/NumEspirasSEc</f>
        <v>8.8571428571428577</v>
      </c>
      <c r="I8" s="27">
        <f>CorrenteSec/CorrentePrim</f>
        <v>8.8571428571428577</v>
      </c>
    </row>
    <row r="9" spans="1:9" ht="5.25" customHeight="1" thickBot="1" x14ac:dyDescent="0.3">
      <c r="A9" s="145"/>
      <c r="B9" s="146"/>
      <c r="C9" s="147"/>
      <c r="D9" s="228"/>
      <c r="E9" s="229"/>
      <c r="F9" s="31"/>
    </row>
    <row r="10" spans="1:9" ht="21" x14ac:dyDescent="0.25">
      <c r="A10" s="94" t="s">
        <v>2</v>
      </c>
      <c r="B10" s="109">
        <f>(NucleoLargura*EmpilhamentoH)^2</f>
        <v>32.513944410000008</v>
      </c>
      <c r="C10" s="91" t="s">
        <v>11</v>
      </c>
      <c r="D10" s="230"/>
      <c r="E10" s="231"/>
      <c r="F10" s="31"/>
      <c r="G10" s="210" t="str">
        <f>IF(AND(G8=H8,H8=I8),"OK DEU CERTO","Se ficou próximo, tudo bem, se ficou distante revise os cálculos")</f>
        <v>OK DEU CERTO</v>
      </c>
      <c r="H10" s="211"/>
      <c r="I10" s="212"/>
    </row>
    <row r="11" spans="1:9" ht="23.25" customHeight="1" thickBot="1" x14ac:dyDescent="0.3">
      <c r="A11" s="95" t="s">
        <v>3</v>
      </c>
      <c r="B11" s="110">
        <f>PotNominal*0.78</f>
        <v>25.360876639800008</v>
      </c>
      <c r="C11" s="92" t="s">
        <v>11</v>
      </c>
      <c r="D11" s="190" t="s">
        <v>16</v>
      </c>
      <c r="E11" s="198" t="s">
        <v>17</v>
      </c>
      <c r="F11" s="32"/>
      <c r="G11" s="213"/>
      <c r="H11" s="214"/>
      <c r="I11" s="215"/>
    </row>
    <row r="12" spans="1:9" ht="5.25" customHeight="1" thickBot="1" x14ac:dyDescent="0.3">
      <c r="A12" s="148"/>
      <c r="B12" s="149"/>
      <c r="C12" s="150"/>
      <c r="D12" s="191"/>
      <c r="E12" s="198"/>
      <c r="F12" s="32"/>
    </row>
    <row r="13" spans="1:9" ht="21.75" thickBot="1" x14ac:dyDescent="0.3">
      <c r="A13" s="154" t="s">
        <v>29</v>
      </c>
      <c r="B13" s="153">
        <v>41.9</v>
      </c>
      <c r="C13" s="150"/>
      <c r="D13" s="5" t="s">
        <v>18</v>
      </c>
      <c r="E13" s="8" t="s">
        <v>19</v>
      </c>
      <c r="F13" s="32"/>
    </row>
    <row r="14" spans="1:9" ht="24" customHeight="1" thickBot="1" x14ac:dyDescent="0.3">
      <c r="A14" s="94" t="s">
        <v>5</v>
      </c>
      <c r="B14" s="111">
        <f>TensaoPrim*CteMg1/AreaNucleoSg</f>
        <v>911.1730765858191</v>
      </c>
      <c r="C14" s="91" t="s">
        <v>39</v>
      </c>
      <c r="D14" s="5" t="s">
        <v>20</v>
      </c>
      <c r="E14" s="4" t="s">
        <v>51</v>
      </c>
      <c r="F14" s="33"/>
    </row>
    <row r="15" spans="1:9" ht="23.25" customHeight="1" thickBot="1" x14ac:dyDescent="0.3">
      <c r="A15" s="95" t="s">
        <v>6</v>
      </c>
      <c r="B15" s="112">
        <f>TensaoSec*CteMg1/AreaNucleoSg</f>
        <v>102.87437961452797</v>
      </c>
      <c r="C15" s="91" t="s">
        <v>39</v>
      </c>
      <c r="D15" s="197" t="s">
        <v>21</v>
      </c>
      <c r="E15" s="198" t="s">
        <v>50</v>
      </c>
      <c r="F15" s="32"/>
    </row>
    <row r="16" spans="1:9" ht="5.25" customHeight="1" thickBot="1" x14ac:dyDescent="0.3">
      <c r="A16" s="148"/>
      <c r="B16" s="151"/>
      <c r="C16" s="150"/>
      <c r="D16" s="191"/>
      <c r="E16" s="198"/>
      <c r="F16" s="32"/>
    </row>
    <row r="17" spans="1:7" ht="24.75" customHeight="1" x14ac:dyDescent="0.25">
      <c r="A17" s="94" t="s">
        <v>8</v>
      </c>
      <c r="B17" s="111">
        <f>PotPerd22/TensaoPrim</f>
        <v>0.20452319870806457</v>
      </c>
      <c r="C17" s="91" t="s">
        <v>40</v>
      </c>
      <c r="D17" s="5" t="s">
        <v>25</v>
      </c>
      <c r="E17" s="119" t="s">
        <v>22</v>
      </c>
      <c r="F17" s="34"/>
    </row>
    <row r="18" spans="1:7" ht="24.75" customHeight="1" thickBot="1" x14ac:dyDescent="0.3">
      <c r="A18" s="95" t="s">
        <v>9</v>
      </c>
      <c r="B18" s="112">
        <f>PotPerd22/TensaoSec</f>
        <v>1.8114911885571434</v>
      </c>
      <c r="C18" s="92" t="s">
        <v>41</v>
      </c>
      <c r="D18" s="6" t="s">
        <v>26</v>
      </c>
      <c r="E18" s="120" t="s">
        <v>23</v>
      </c>
      <c r="F18" s="34"/>
    </row>
    <row r="19" spans="1:7" ht="6.75" customHeight="1" thickBot="1" x14ac:dyDescent="0.3">
      <c r="A19" s="148"/>
      <c r="B19" s="152"/>
      <c r="C19" s="150"/>
      <c r="D19" s="147"/>
      <c r="E19" s="40"/>
    </row>
    <row r="20" spans="1:7" ht="24.75" customHeight="1" thickBot="1" x14ac:dyDescent="0.3">
      <c r="A20" s="155" t="s">
        <v>28</v>
      </c>
      <c r="B20" s="153">
        <v>4</v>
      </c>
      <c r="C20" s="150"/>
      <c r="D20" s="147"/>
      <c r="E20" s="40"/>
      <c r="G20" s="3"/>
    </row>
    <row r="21" spans="1:7" ht="21" x14ac:dyDescent="0.25">
      <c r="A21" s="94" t="s">
        <v>10</v>
      </c>
      <c r="B21" s="113">
        <f>CorrentePrim/CteMag2</f>
        <v>5.1130799677016142E-2</v>
      </c>
      <c r="C21" s="91" t="s">
        <v>197</v>
      </c>
      <c r="D21" s="52" t="s">
        <v>42</v>
      </c>
      <c r="E21" s="156">
        <f>SQRT(4*B21/PI())</f>
        <v>0.25515045777483691</v>
      </c>
      <c r="F21" s="35"/>
    </row>
    <row r="22" spans="1:7" ht="21.75" thickBot="1" x14ac:dyDescent="0.3">
      <c r="A22" s="95" t="s">
        <v>12</v>
      </c>
      <c r="B22" s="114">
        <f>CorrenteSec/CteMag2</f>
        <v>0.45287279713928585</v>
      </c>
      <c r="C22" s="92" t="s">
        <v>198</v>
      </c>
      <c r="D22" s="53" t="s">
        <v>43</v>
      </c>
      <c r="E22" s="157">
        <f>SQRT(4*B22/PI())</f>
        <v>0.75935206199269911</v>
      </c>
      <c r="F22" s="35"/>
    </row>
    <row r="23" spans="1:7" ht="6" customHeight="1" thickBot="1" x14ac:dyDescent="0.3">
      <c r="A23" s="148"/>
      <c r="B23" s="151"/>
      <c r="C23" s="150"/>
      <c r="D23" s="54"/>
      <c r="E23" s="158"/>
    </row>
    <row r="24" spans="1:7" ht="21" x14ac:dyDescent="0.25">
      <c r="A24" s="94" t="s">
        <v>13</v>
      </c>
      <c r="B24" s="115">
        <f>TensaoPrim/NumEspirasPrim</f>
        <v>0.13608830548926015</v>
      </c>
      <c r="C24" s="91" t="s">
        <v>44</v>
      </c>
      <c r="D24" s="55" t="s">
        <v>152</v>
      </c>
      <c r="E24" s="159">
        <f>NumEspirasPrim/TensaoPrim</f>
        <v>7.348169972466283</v>
      </c>
    </row>
    <row r="25" spans="1:7" ht="21.75" thickBot="1" x14ac:dyDescent="0.3">
      <c r="A25" s="95" t="s">
        <v>14</v>
      </c>
      <c r="B25" s="116">
        <f>TensaoSec/NumEspirasSEc</f>
        <v>0.13608830548926015</v>
      </c>
      <c r="C25" s="92" t="s">
        <v>44</v>
      </c>
      <c r="D25" s="53" t="s">
        <v>153</v>
      </c>
      <c r="E25" s="160">
        <f>NumEspirasSEc/TensaoSec</f>
        <v>7.348169972466283</v>
      </c>
    </row>
    <row r="26" spans="1:7" ht="5.25" customHeight="1" thickBot="1" x14ac:dyDescent="0.3">
      <c r="A26" s="148"/>
      <c r="B26" s="151"/>
      <c r="C26" s="150"/>
      <c r="D26" s="146"/>
      <c r="E26" s="40"/>
    </row>
    <row r="27" spans="1:7" ht="21.75" customHeight="1" x14ac:dyDescent="0.25">
      <c r="A27" s="94" t="s">
        <v>15</v>
      </c>
      <c r="B27" s="109">
        <f>-39*LOG(E21/0.127,92)+36</f>
        <v>29.982693832589433</v>
      </c>
      <c r="C27" s="93" t="s">
        <v>24</v>
      </c>
      <c r="D27" s="199" t="s">
        <v>27</v>
      </c>
      <c r="E27" s="200"/>
      <c r="F27" s="31"/>
    </row>
    <row r="28" spans="1:7" ht="21.75" customHeight="1" x14ac:dyDescent="0.25">
      <c r="A28" s="106" t="s">
        <v>156</v>
      </c>
      <c r="B28" s="117">
        <f>-39*LOG(E22/0.127,92)+36</f>
        <v>20.57626717706485</v>
      </c>
      <c r="C28" s="107" t="s">
        <v>24</v>
      </c>
      <c r="D28" s="201"/>
      <c r="E28" s="202"/>
      <c r="F28" s="31"/>
    </row>
    <row r="29" spans="1:7" ht="47.25" customHeight="1" x14ac:dyDescent="0.25">
      <c r="A29" s="178" t="s">
        <v>243</v>
      </c>
      <c r="B29" s="176">
        <f>(NumEspirasPrim*SecaoFioPrim+NumEspirasSEc*SEcaoFioSec)*1.05</f>
        <v>97.83691690500001</v>
      </c>
      <c r="C29" s="179" t="s">
        <v>244</v>
      </c>
      <c r="D29" s="203" t="s">
        <v>249</v>
      </c>
      <c r="E29" s="204"/>
      <c r="F29" s="31"/>
    </row>
    <row r="30" spans="1:7" ht="47.25" customHeight="1" x14ac:dyDescent="0.25">
      <c r="A30" s="178" t="s">
        <v>245</v>
      </c>
      <c r="B30" s="176">
        <f>NucleoLargura/2*1.333*3*NucleoLargura</f>
        <v>10.48557795</v>
      </c>
      <c r="C30" s="180" t="s">
        <v>244</v>
      </c>
      <c r="D30" s="205" t="str">
        <f>IF(B30/B29&gt;=3,"OK","Tente uma chapa / trafo maior, não deu certo")</f>
        <v>Tente uma chapa / trafo maior, não deu certo</v>
      </c>
      <c r="E30" s="206"/>
      <c r="F30" s="31"/>
    </row>
    <row r="31" spans="1:7" ht="38.25" customHeight="1" thickBot="1" x14ac:dyDescent="0.3">
      <c r="A31" s="242" t="s">
        <v>203</v>
      </c>
      <c r="B31" s="243"/>
      <c r="C31" s="175">
        <f>NumEspirasPrim*(NucleoLargura+EmpilhamentoH+0.8)*2*1.01/100+3</f>
        <v>105.7037845004472</v>
      </c>
      <c r="D31" s="246" t="s">
        <v>213</v>
      </c>
      <c r="E31" s="247"/>
    </row>
    <row r="32" spans="1:7" ht="38.25" customHeight="1" thickBot="1" x14ac:dyDescent="0.3">
      <c r="A32" s="244" t="s">
        <v>204</v>
      </c>
      <c r="B32" s="245"/>
      <c r="C32" s="121">
        <f>NumEspirasSEc*(NucleoLargura+EmpilhamentoH+0.8)*2*1.01/100+3</f>
        <v>14.595588572631135</v>
      </c>
      <c r="D32" s="248" t="s">
        <v>213</v>
      </c>
      <c r="E32" s="249"/>
    </row>
    <row r="33" spans="1:6" ht="35.25" customHeight="1" x14ac:dyDescent="0.25">
      <c r="A33" s="241" t="s">
        <v>46</v>
      </c>
      <c r="B33" s="195"/>
      <c r="C33" s="195"/>
      <c r="D33" s="195"/>
      <c r="E33" s="196"/>
      <c r="F33" s="36"/>
    </row>
    <row r="34" spans="1:6" ht="27" customHeight="1" x14ac:dyDescent="0.25">
      <c r="A34" s="194" t="s">
        <v>45</v>
      </c>
      <c r="B34" s="195"/>
      <c r="C34" s="195"/>
      <c r="D34" s="195"/>
      <c r="E34" s="196"/>
      <c r="F34" s="36"/>
    </row>
    <row r="35" spans="1:6" ht="27" customHeight="1" x14ac:dyDescent="0.25">
      <c r="A35" s="181" t="s">
        <v>206</v>
      </c>
      <c r="B35" s="182"/>
      <c r="C35" s="182"/>
      <c r="D35" s="182"/>
      <c r="E35" s="183"/>
      <c r="F35" s="36"/>
    </row>
    <row r="36" spans="1:6" ht="27" customHeight="1" thickBot="1" x14ac:dyDescent="0.3">
      <c r="A36" s="184" t="s">
        <v>207</v>
      </c>
      <c r="B36" s="185"/>
      <c r="C36" s="185"/>
      <c r="D36" s="185"/>
      <c r="E36" s="186"/>
      <c r="F36" s="36"/>
    </row>
    <row r="37" spans="1:6" ht="48.75" customHeight="1" x14ac:dyDescent="0.25">
      <c r="A37" s="238" t="s">
        <v>151</v>
      </c>
      <c r="B37" s="239"/>
      <c r="C37" s="239"/>
      <c r="D37" s="239"/>
      <c r="E37" s="240"/>
      <c r="F37" s="36"/>
    </row>
    <row r="38" spans="1:6" ht="16.5" customHeight="1" thickBot="1" x14ac:dyDescent="0.3">
      <c r="A38" s="194" t="s">
        <v>31</v>
      </c>
      <c r="B38" s="195"/>
      <c r="C38" s="195"/>
      <c r="D38" s="195"/>
      <c r="E38" s="196"/>
      <c r="F38" s="36"/>
    </row>
    <row r="39" spans="1:6" ht="46.5" customHeight="1" x14ac:dyDescent="0.25">
      <c r="A39" s="238" t="s">
        <v>32</v>
      </c>
      <c r="B39" s="239"/>
      <c r="C39" s="239"/>
      <c r="D39" s="239"/>
      <c r="E39" s="240"/>
      <c r="F39" s="36"/>
    </row>
    <row r="40" spans="1:6" ht="16.5" customHeight="1" thickBot="1" x14ac:dyDescent="0.3">
      <c r="A40" s="223" t="s">
        <v>33</v>
      </c>
      <c r="B40" s="224"/>
      <c r="C40" s="224"/>
      <c r="D40" s="224"/>
      <c r="E40" s="225"/>
      <c r="F40" s="37"/>
    </row>
    <row r="41" spans="1:6" ht="24.75" customHeight="1" x14ac:dyDescent="0.25">
      <c r="A41" s="220" t="s">
        <v>34</v>
      </c>
      <c r="B41" s="221"/>
      <c r="C41" s="221"/>
      <c r="D41" s="221"/>
      <c r="E41" s="222"/>
    </row>
    <row r="42" spans="1:6" ht="27.75" customHeight="1" thickBot="1" x14ac:dyDescent="0.3">
      <c r="A42" s="235" t="s">
        <v>16</v>
      </c>
      <c r="B42" s="236"/>
      <c r="C42" s="236"/>
      <c r="D42" s="236"/>
      <c r="E42" s="237"/>
    </row>
    <row r="43" spans="1:6" ht="26.25" customHeight="1" x14ac:dyDescent="0.25">
      <c r="A43" s="220" t="s">
        <v>47</v>
      </c>
      <c r="B43" s="221"/>
      <c r="C43" s="221"/>
      <c r="D43" s="221"/>
      <c r="E43" s="222"/>
    </row>
    <row r="44" spans="1:6" ht="21" customHeight="1" thickBot="1" x14ac:dyDescent="0.3">
      <c r="A44" s="223" t="s">
        <v>48</v>
      </c>
      <c r="B44" s="224"/>
      <c r="C44" s="224"/>
      <c r="D44" s="224"/>
      <c r="E44" s="225"/>
      <c r="F44" s="37"/>
    </row>
    <row r="45" spans="1:6" ht="27.75" customHeight="1" x14ac:dyDescent="0.25">
      <c r="A45" s="220" t="s">
        <v>131</v>
      </c>
      <c r="B45" s="221"/>
      <c r="C45" s="221"/>
      <c r="D45" s="221"/>
      <c r="E45" s="222"/>
    </row>
    <row r="46" spans="1:6" ht="27.75" customHeight="1" thickBot="1" x14ac:dyDescent="0.3">
      <c r="A46" s="232" t="s">
        <v>132</v>
      </c>
      <c r="B46" s="233"/>
      <c r="C46" s="233"/>
      <c r="D46" s="233"/>
      <c r="E46" s="234"/>
      <c r="F46" s="38"/>
    </row>
  </sheetData>
  <sheetProtection algorithmName="SHA-512" hashValue="z3s40GT+eJUs2LTvApirBJT7sIOQ6rS6XEptqauRoHRboeZW/MN73vL91X+aqmkHWQdoi+Rm8vF/+/cyPHEu7g==" saltValue="H6nTNWNelXPhLBqM0kxoXg==" spinCount="100000" sheet="1" objects="1" scenarios="1" selectLockedCells="1"/>
  <mergeCells count="32">
    <mergeCell ref="A43:E43"/>
    <mergeCell ref="A44:E44"/>
    <mergeCell ref="D7:E10"/>
    <mergeCell ref="A45:E45"/>
    <mergeCell ref="A46:E46"/>
    <mergeCell ref="A41:E41"/>
    <mergeCell ref="A42:E42"/>
    <mergeCell ref="A39:E39"/>
    <mergeCell ref="A40:E40"/>
    <mergeCell ref="A38:E38"/>
    <mergeCell ref="A33:E33"/>
    <mergeCell ref="A37:E37"/>
    <mergeCell ref="A31:B31"/>
    <mergeCell ref="A32:B32"/>
    <mergeCell ref="D31:E31"/>
    <mergeCell ref="D32:E32"/>
    <mergeCell ref="G6:I6"/>
    <mergeCell ref="G10:I11"/>
    <mergeCell ref="C3:E3"/>
    <mergeCell ref="C4:E4"/>
    <mergeCell ref="E11:E12"/>
    <mergeCell ref="A35:E35"/>
    <mergeCell ref="A36:E36"/>
    <mergeCell ref="A1:E1"/>
    <mergeCell ref="D11:D12"/>
    <mergeCell ref="B2:E2"/>
    <mergeCell ref="A34:E34"/>
    <mergeCell ref="D15:D16"/>
    <mergeCell ref="E15:E16"/>
    <mergeCell ref="D27:E28"/>
    <mergeCell ref="D29:E29"/>
    <mergeCell ref="D30:E30"/>
  </mergeCells>
  <phoneticPr fontId="2" type="noConversion"/>
  <hyperlinks>
    <hyperlink ref="D17" r:id="rId1" xr:uid="{DF682C83-5B38-415C-8B07-701C4B221E5C}"/>
    <hyperlink ref="D18" r:id="rId2" xr:uid="{4B33FFD5-D806-4462-AB51-D66556DC3EA2}"/>
    <hyperlink ref="D15" r:id="rId3" xr:uid="{EACC163D-150F-463F-A964-62162D656C26}"/>
    <hyperlink ref="D14" r:id="rId4" xr:uid="{485A6D6C-987F-47DD-B786-99D7B7FFDA07}"/>
    <hyperlink ref="D13" r:id="rId5" xr:uid="{4BDAB6CC-E24C-46A6-B8E0-548FB7D990D2}"/>
    <hyperlink ref="D11" r:id="rId6" xr:uid="{A3FE991B-6C2B-48F1-81AA-62F10B977D74}"/>
    <hyperlink ref="A34" r:id="rId7" xr:uid="{31DAF286-D8E9-4C0B-A5D5-3FFE25DEECEC}"/>
    <hyperlink ref="A38" r:id="rId8" xr:uid="{9929E84A-8342-48B1-AC5E-451C2F3FAFA3}"/>
    <hyperlink ref="A40" r:id="rId9" xr:uid="{453DFC2A-3424-4889-9350-E4EF034FD1DF}"/>
    <hyperlink ref="A42" r:id="rId10" xr:uid="{469D0C02-A57C-44F3-88AC-553018FBB867}"/>
    <hyperlink ref="A44" r:id="rId11" xr:uid="{362A05A3-ACC1-4677-82F5-31666FC16303}"/>
    <hyperlink ref="A46" r:id="rId12" xr:uid="{0AD3424C-B439-4807-AC4E-DAC3C66F3CE4}"/>
    <hyperlink ref="A36" r:id="rId13" xr:uid="{7FB68DF5-877B-431A-BEA5-D5930C2E5A59}"/>
  </hyperlinks>
  <printOptions horizontalCentered="1"/>
  <pageMargins left="0.39370078740157483" right="0.39370078740157483" top="0.39370078740157483" bottom="0.39370078740157483" header="0.19685039370078741" footer="0.11811023622047245"/>
  <pageSetup paperSize="9" scale="45" orientation="landscape" horizontalDpi="0" verticalDpi="0" r:id="rId14"/>
  <drawing r:id="rId1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A3D15-7BBD-40DF-988A-D12B9F55AF1D}">
  <sheetPr codeName="Planilha1">
    <pageSetUpPr fitToPage="1"/>
  </sheetPr>
  <dimension ref="A1:I44"/>
  <sheetViews>
    <sheetView showGridLines="0" zoomScale="90" zoomScaleNormal="90" workbookViewId="0">
      <selection activeCell="A2" sqref="A2"/>
    </sheetView>
  </sheetViews>
  <sheetFormatPr defaultRowHeight="15" x14ac:dyDescent="0.25"/>
  <cols>
    <col min="1" max="1" width="62.140625" style="2" bestFit="1" customWidth="1"/>
    <col min="2" max="2" width="17.7109375" style="2" customWidth="1"/>
    <col min="3" max="3" width="55.7109375" style="2" customWidth="1"/>
    <col min="4" max="4" width="46.7109375" style="2" bestFit="1" customWidth="1"/>
    <col min="5" max="5" width="29.28515625" style="3" customWidth="1"/>
    <col min="6" max="6" width="22.5703125" style="2" customWidth="1"/>
    <col min="7" max="8" width="20.5703125" style="2" customWidth="1"/>
    <col min="9" max="10" width="10.5703125" style="2" customWidth="1"/>
    <col min="11" max="16384" width="9.140625" style="2"/>
  </cols>
  <sheetData>
    <row r="1" spans="1:9" ht="39" customHeight="1" thickBot="1" x14ac:dyDescent="0.3">
      <c r="A1" s="187" t="s">
        <v>187</v>
      </c>
      <c r="B1" s="188"/>
      <c r="C1" s="188"/>
      <c r="D1" s="188"/>
      <c r="E1" s="189"/>
    </row>
    <row r="2" spans="1:9" ht="75" customHeight="1" thickBot="1" x14ac:dyDescent="0.3">
      <c r="A2" s="90" t="s">
        <v>37</v>
      </c>
      <c r="B2" s="266" t="s">
        <v>174</v>
      </c>
      <c r="C2" s="266"/>
      <c r="D2" s="266"/>
      <c r="E2" s="267"/>
    </row>
    <row r="3" spans="1:9" ht="30" customHeight="1" x14ac:dyDescent="0.25">
      <c r="A3" s="42" t="s">
        <v>160</v>
      </c>
      <c r="B3" s="59">
        <v>127</v>
      </c>
      <c r="C3" s="44" t="s">
        <v>192</v>
      </c>
      <c r="D3" s="82">
        <v>1</v>
      </c>
      <c r="E3" s="86" t="s">
        <v>171</v>
      </c>
      <c r="F3" s="161">
        <v>1</v>
      </c>
    </row>
    <row r="4" spans="1:9" ht="30" customHeight="1" thickBot="1" x14ac:dyDescent="0.3">
      <c r="A4" s="43" t="s">
        <v>161</v>
      </c>
      <c r="B4" s="60">
        <v>12</v>
      </c>
      <c r="C4" s="45" t="s">
        <v>193</v>
      </c>
      <c r="D4" s="83">
        <v>1</v>
      </c>
      <c r="E4" s="87" t="s">
        <v>172</v>
      </c>
      <c r="F4" s="161">
        <v>2</v>
      </c>
    </row>
    <row r="5" spans="1:9" ht="30" customHeight="1" thickBot="1" x14ac:dyDescent="0.3">
      <c r="A5" s="43" t="s">
        <v>162</v>
      </c>
      <c r="B5" s="61">
        <v>13</v>
      </c>
      <c r="C5" s="64" t="s">
        <v>194</v>
      </c>
      <c r="D5" s="139">
        <f>IF(B9&lt;=50,3.5,IF(B9&lt;=100,2.5,IF(B9&lt;=500,2.2,2)))</f>
        <v>2.2000000000000002</v>
      </c>
      <c r="E5" s="88" t="s">
        <v>182</v>
      </c>
    </row>
    <row r="6" spans="1:9" ht="30" customHeight="1" thickBot="1" x14ac:dyDescent="0.3">
      <c r="A6" s="43" t="s">
        <v>163</v>
      </c>
      <c r="B6" s="61">
        <v>12000</v>
      </c>
      <c r="C6" s="46" t="s">
        <v>178</v>
      </c>
      <c r="D6" s="137">
        <f>7.5*SQRT(E6*B9/B7)</f>
        <v>12.093386622447825</v>
      </c>
      <c r="E6" s="89">
        <f>IF((D3+D4)=2,1,IF((D3+D4)=3,1.25,1.5))</f>
        <v>1</v>
      </c>
    </row>
    <row r="7" spans="1:9" ht="30" customHeight="1" thickBot="1" x14ac:dyDescent="0.3">
      <c r="A7" s="84" t="s">
        <v>159</v>
      </c>
      <c r="B7" s="57">
        <v>60</v>
      </c>
      <c r="C7" s="85" t="s">
        <v>179</v>
      </c>
      <c r="D7" s="138">
        <f>D6*1.1</f>
        <v>13.30272528469261</v>
      </c>
      <c r="E7" s="31"/>
      <c r="F7" s="31"/>
      <c r="G7" s="31"/>
      <c r="H7" s="31"/>
    </row>
    <row r="8" spans="1:9" ht="144.75" customHeight="1" thickBot="1" x14ac:dyDescent="0.3">
      <c r="A8" s="47"/>
      <c r="B8" s="48"/>
    </row>
    <row r="9" spans="1:9" ht="36.75" customHeight="1" x14ac:dyDescent="0.25">
      <c r="A9" s="72" t="s">
        <v>175</v>
      </c>
      <c r="B9" s="122">
        <f>B4*B5</f>
        <v>156</v>
      </c>
      <c r="C9" s="73" t="s">
        <v>158</v>
      </c>
      <c r="D9" s="257" t="s">
        <v>137</v>
      </c>
      <c r="E9" s="258"/>
      <c r="F9" s="259"/>
    </row>
    <row r="10" spans="1:9" s="41" customFormat="1" ht="36" customHeight="1" x14ac:dyDescent="0.25">
      <c r="A10" s="74" t="s">
        <v>164</v>
      </c>
      <c r="B10" s="123">
        <f>B9*1.1</f>
        <v>171.60000000000002</v>
      </c>
      <c r="C10" s="75" t="s">
        <v>158</v>
      </c>
      <c r="D10" s="23" t="s">
        <v>143</v>
      </c>
      <c r="E10" s="22" t="s">
        <v>144</v>
      </c>
      <c r="F10" s="24" t="s">
        <v>157</v>
      </c>
    </row>
    <row r="11" spans="1:9" ht="30.75" customHeight="1" x14ac:dyDescent="0.25">
      <c r="A11" s="76" t="s">
        <v>167</v>
      </c>
      <c r="B11" s="124">
        <f>B5/D5</f>
        <v>5.9090909090909083</v>
      </c>
      <c r="C11" s="77" t="s">
        <v>165</v>
      </c>
      <c r="D11" s="49">
        <f>B3/B4</f>
        <v>10.583333333333334</v>
      </c>
      <c r="E11" s="50">
        <f>B17/B18</f>
        <v>9.6212121212121211</v>
      </c>
      <c r="F11" s="51">
        <f>B5/(B10/B3)</f>
        <v>9.6212121212121193</v>
      </c>
      <c r="G11" s="41"/>
      <c r="H11" s="41"/>
      <c r="I11" s="41"/>
    </row>
    <row r="12" spans="1:9" ht="30.75" customHeight="1" x14ac:dyDescent="0.25">
      <c r="A12" s="76" t="s">
        <v>166</v>
      </c>
      <c r="B12" s="124">
        <f>B10/B3/D5</f>
        <v>0.61417322834645671</v>
      </c>
      <c r="C12" s="77" t="s">
        <v>165</v>
      </c>
      <c r="D12" s="260" t="s">
        <v>186</v>
      </c>
      <c r="E12" s="261"/>
      <c r="F12" s="262"/>
      <c r="G12" s="41"/>
      <c r="H12" s="41"/>
      <c r="I12" s="41"/>
    </row>
    <row r="13" spans="1:9" ht="30.75" customHeight="1" thickBot="1" x14ac:dyDescent="0.3">
      <c r="A13" s="78" t="s">
        <v>155</v>
      </c>
      <c r="B13" s="125">
        <f>SQRT(4*B11/PI())</f>
        <v>2.7429342352469184</v>
      </c>
      <c r="C13" s="79" t="s">
        <v>170</v>
      </c>
      <c r="D13" s="263"/>
      <c r="E13" s="264"/>
      <c r="F13" s="265"/>
      <c r="G13" s="41"/>
      <c r="H13" s="41"/>
      <c r="I13" s="41"/>
    </row>
    <row r="14" spans="1:9" ht="30.75" customHeight="1" thickBot="1" x14ac:dyDescent="0.3">
      <c r="A14" s="80" t="s">
        <v>154</v>
      </c>
      <c r="B14" s="126">
        <f>SQRT(4*B12/PI())</f>
        <v>0.88430178199999554</v>
      </c>
      <c r="C14" s="81" t="s">
        <v>170</v>
      </c>
      <c r="F14" s="7"/>
      <c r="G14" s="41"/>
      <c r="H14" s="41"/>
      <c r="I14" s="41"/>
    </row>
    <row r="15" spans="1:9" ht="30.75" customHeight="1" x14ac:dyDescent="0.25">
      <c r="A15" s="65" t="s">
        <v>168</v>
      </c>
      <c r="B15" s="127">
        <f>-39*LOG(B13/0.127,92)+36</f>
        <v>9.4991455974280683</v>
      </c>
      <c r="C15" s="66" t="s">
        <v>173</v>
      </c>
      <c r="D15" s="253" t="s">
        <v>138</v>
      </c>
      <c r="E15" s="254"/>
    </row>
    <row r="16" spans="1:9" ht="30.75" customHeight="1" thickBot="1" x14ac:dyDescent="0.3">
      <c r="A16" s="67" t="s">
        <v>169</v>
      </c>
      <c r="B16" s="128">
        <f>-39*LOG(B14/0.127,92)+36</f>
        <v>19.262410565845315</v>
      </c>
      <c r="C16" s="68" t="s">
        <v>173</v>
      </c>
      <c r="D16" s="255"/>
      <c r="E16" s="256"/>
    </row>
    <row r="17" spans="1:5" ht="39.75" customHeight="1" x14ac:dyDescent="0.25">
      <c r="A17" s="129" t="s">
        <v>176</v>
      </c>
      <c r="B17" s="130">
        <f>(B3*10^8)/(4.44*$B$6*$D$6*$B$7)</f>
        <v>328.50373900628693</v>
      </c>
      <c r="C17" s="131" t="s">
        <v>180</v>
      </c>
      <c r="D17" s="228" t="s">
        <v>52</v>
      </c>
      <c r="E17" s="229"/>
    </row>
    <row r="18" spans="1:5" ht="39.75" customHeight="1" x14ac:dyDescent="0.25">
      <c r="A18" s="132" t="s">
        <v>177</v>
      </c>
      <c r="B18" s="133">
        <f>(B4*10^8)/(4.44*$B$6*$D$6*$B$7)*1.1</f>
        <v>34.143695707740058</v>
      </c>
      <c r="C18" s="134" t="s">
        <v>181</v>
      </c>
      <c r="D18" s="230"/>
      <c r="E18" s="231"/>
    </row>
    <row r="19" spans="1:5" ht="42" customHeight="1" x14ac:dyDescent="0.25">
      <c r="A19" s="135" t="s">
        <v>201</v>
      </c>
      <c r="B19" s="136">
        <f>B17*($B$24+$C$24+0.08)*2*1.01/100+3</f>
        <v>52.862821592314774</v>
      </c>
      <c r="C19" s="164" t="s">
        <v>212</v>
      </c>
      <c r="D19" s="105" t="s">
        <v>16</v>
      </c>
      <c r="E19" s="8" t="s">
        <v>17</v>
      </c>
    </row>
    <row r="20" spans="1:5" ht="42" customHeight="1" x14ac:dyDescent="0.25">
      <c r="A20" s="135" t="s">
        <v>202</v>
      </c>
      <c r="B20" s="136">
        <f>B18*($B$24+$C$24+0.08)*2*1.01/100+3</f>
        <v>8.1825924804610644</v>
      </c>
      <c r="C20" s="164" t="s">
        <v>212</v>
      </c>
      <c r="D20" s="5" t="s">
        <v>18</v>
      </c>
      <c r="E20" s="8" t="s">
        <v>19</v>
      </c>
    </row>
    <row r="21" spans="1:5" ht="35.25" customHeight="1" x14ac:dyDescent="0.25">
      <c r="A21" s="280" t="s">
        <v>183</v>
      </c>
      <c r="B21" s="281"/>
      <c r="C21" s="282"/>
      <c r="D21" s="5" t="s">
        <v>20</v>
      </c>
      <c r="E21" s="104" t="s">
        <v>51</v>
      </c>
    </row>
    <row r="22" spans="1:5" ht="49.5" customHeight="1" x14ac:dyDescent="0.25">
      <c r="A22" s="69" t="s">
        <v>184</v>
      </c>
      <c r="B22" s="140">
        <f>SQRT(D7)</f>
        <v>3.6472901289440371</v>
      </c>
      <c r="C22" s="283">
        <f>B22*B23</f>
        <v>13.30272528469261</v>
      </c>
      <c r="D22" s="5" t="s">
        <v>21</v>
      </c>
      <c r="E22" s="8" t="s">
        <v>50</v>
      </c>
    </row>
    <row r="23" spans="1:5" ht="36.75" customHeight="1" x14ac:dyDescent="0.25">
      <c r="A23" s="98" t="s">
        <v>211</v>
      </c>
      <c r="B23" s="141">
        <f>D7/B22</f>
        <v>3.6472901289440367</v>
      </c>
      <c r="C23" s="284"/>
      <c r="D23" s="5" t="s">
        <v>25</v>
      </c>
      <c r="E23" s="162" t="s">
        <v>22</v>
      </c>
    </row>
    <row r="24" spans="1:5" ht="93" customHeight="1" thickBot="1" x14ac:dyDescent="0.3">
      <c r="A24" s="108" t="s">
        <v>200</v>
      </c>
      <c r="B24" s="103">
        <v>3</v>
      </c>
      <c r="C24" s="142">
        <f>C22/B24</f>
        <v>4.4342417615642029</v>
      </c>
      <c r="D24" s="6" t="s">
        <v>26</v>
      </c>
      <c r="E24" s="163" t="s">
        <v>23</v>
      </c>
    </row>
    <row r="25" spans="1:5" ht="37.5" customHeight="1" thickBot="1" x14ac:dyDescent="0.3">
      <c r="A25" s="100" t="s">
        <v>210</v>
      </c>
      <c r="B25" s="101"/>
      <c r="C25" s="102" t="s">
        <v>241</v>
      </c>
    </row>
    <row r="26" spans="1:5" ht="40.5" customHeight="1" x14ac:dyDescent="0.25">
      <c r="A26" s="177" t="s">
        <v>242</v>
      </c>
      <c r="B26" s="143">
        <f>(B17*B12+B18*B11)*1.05</f>
        <v>423.6922240096834</v>
      </c>
      <c r="C26" s="144" t="s">
        <v>185</v>
      </c>
      <c r="D26" s="274" t="s">
        <v>190</v>
      </c>
      <c r="E26" s="275"/>
    </row>
    <row r="27" spans="1:5" ht="26.25" thickBot="1" x14ac:dyDescent="0.3">
      <c r="A27" s="70" t="s">
        <v>196</v>
      </c>
      <c r="B27" s="71">
        <f>B25/B26</f>
        <v>0</v>
      </c>
      <c r="C27" s="99" t="str">
        <f>IF(B27&lt;=3,"OK, posso construir","escolha uma placa maior")</f>
        <v>OK, posso construir</v>
      </c>
      <c r="D27" s="276"/>
      <c r="E27" s="277"/>
    </row>
    <row r="28" spans="1:5" x14ac:dyDescent="0.25">
      <c r="D28" s="276"/>
      <c r="E28" s="277"/>
    </row>
    <row r="29" spans="1:5" x14ac:dyDescent="0.25">
      <c r="D29" s="62"/>
      <c r="E29" s="63"/>
    </row>
    <row r="30" spans="1:5" x14ac:dyDescent="0.25">
      <c r="D30" s="278" t="s">
        <v>191</v>
      </c>
      <c r="E30" s="183"/>
    </row>
    <row r="31" spans="1:5" x14ac:dyDescent="0.25">
      <c r="D31" s="181"/>
      <c r="E31" s="183"/>
    </row>
    <row r="32" spans="1:5" ht="15.75" thickBot="1" x14ac:dyDescent="0.3">
      <c r="D32" s="279"/>
      <c r="E32" s="273"/>
    </row>
    <row r="38" spans="1:3" ht="36.75" customHeight="1" x14ac:dyDescent="0.25"/>
    <row r="41" spans="1:3" ht="39.75" customHeight="1" thickBot="1" x14ac:dyDescent="0.3"/>
    <row r="42" spans="1:3" ht="26.25" x14ac:dyDescent="0.25">
      <c r="A42" s="268" t="s">
        <v>188</v>
      </c>
      <c r="B42" s="269"/>
      <c r="C42" s="270"/>
    </row>
    <row r="43" spans="1:3" ht="29.25" customHeight="1" thickBot="1" x14ac:dyDescent="0.3">
      <c r="A43" s="271" t="s">
        <v>189</v>
      </c>
      <c r="B43" s="272"/>
      <c r="C43" s="273"/>
    </row>
    <row r="44" spans="1:3" ht="68.25" customHeight="1" thickBot="1" x14ac:dyDescent="0.3">
      <c r="A44" s="250" t="s">
        <v>248</v>
      </c>
      <c r="B44" s="251"/>
      <c r="C44" s="252"/>
    </row>
  </sheetData>
  <mergeCells count="13">
    <mergeCell ref="A1:E1"/>
    <mergeCell ref="B2:E2"/>
    <mergeCell ref="A42:C42"/>
    <mergeCell ref="A43:C43"/>
    <mergeCell ref="D26:E28"/>
    <mergeCell ref="D30:E32"/>
    <mergeCell ref="A21:C21"/>
    <mergeCell ref="C22:C23"/>
    <mergeCell ref="A44:C44"/>
    <mergeCell ref="D15:E16"/>
    <mergeCell ref="D9:F9"/>
    <mergeCell ref="D17:E18"/>
    <mergeCell ref="D12:F13"/>
  </mergeCells>
  <phoneticPr fontId="2" type="noConversion"/>
  <conditionalFormatting sqref="C27">
    <cfRule type="cellIs" dxfId="2" priority="1" operator="equal">
      <formula>$B$27</formula>
    </cfRule>
    <cfRule type="cellIs" dxfId="1" priority="2" operator="equal">
      <formula>$B$27</formula>
    </cfRule>
    <cfRule type="cellIs" dxfId="0" priority="3" operator="equal">
      <formula>0</formula>
    </cfRule>
  </conditionalFormatting>
  <hyperlinks>
    <hyperlink ref="D23" r:id="rId1" xr:uid="{27047828-CFE4-4B1E-964F-612F1B914DCE}"/>
    <hyperlink ref="D24" r:id="rId2" xr:uid="{218C1B50-66AA-4213-8310-AAD66D188CA8}"/>
    <hyperlink ref="D22" r:id="rId3" xr:uid="{E7CAE63C-65CD-4436-977C-7E16D47D0E8B}"/>
    <hyperlink ref="D21" r:id="rId4" xr:uid="{9DFCCCE6-A84E-4003-8846-2BCBF64CD863}"/>
    <hyperlink ref="D20" r:id="rId5" xr:uid="{B1125A63-87B5-4AD3-B664-01013BD76309}"/>
    <hyperlink ref="D19" r:id="rId6" xr:uid="{1E3A8F1F-3EAD-4FE0-9DC1-20B861DCF4AB}"/>
    <hyperlink ref="A43" r:id="rId7" xr:uid="{F88A076B-3DFB-45DB-8D81-F2A8A03BE557}"/>
    <hyperlink ref="D30" r:id="rId8" xr:uid="{A4DC99E5-AA0F-46FB-B0FA-F4F87B450D22}"/>
  </hyperlinks>
  <printOptions horizontalCentered="1"/>
  <pageMargins left="0.31496062992125984" right="0.31496062992125984" top="0.39370078740157483" bottom="0.39370078740157483" header="0.31496062992125984" footer="0.31496062992125984"/>
  <pageSetup paperSize="9" scale="38" orientation="landscape" horizontalDpi="0" verticalDpi="0" r:id="rId9"/>
  <drawing r:id="rId10"/>
  <legacyDrawing r:id="rId11"/>
  <mc:AlternateContent xmlns:mc="http://schemas.openxmlformats.org/markup-compatibility/2006">
    <mc:Choice Requires="x14">
      <controls>
        <mc:AlternateContent xmlns:mc="http://schemas.openxmlformats.org/markup-compatibility/2006">
          <mc:Choice Requires="x14">
            <control shapeId="2052" r:id="rId12" name="Drop Down 4">
              <controlPr defaultSize="0" print="0" autoLine="0" autoPict="0" altText="Escolha entre os valores 1 ou 2 - 1 tap ou 2 taps">
                <anchor moveWithCells="1">
                  <from>
                    <xdr:col>3</xdr:col>
                    <xdr:colOff>19050</xdr:colOff>
                    <xdr:row>2</xdr:row>
                    <xdr:rowOff>104775</xdr:rowOff>
                  </from>
                  <to>
                    <xdr:col>3</xdr:col>
                    <xdr:colOff>3067050</xdr:colOff>
                    <xdr:row>2</xdr:row>
                    <xdr:rowOff>314325</xdr:rowOff>
                  </to>
                </anchor>
              </controlPr>
            </control>
          </mc:Choice>
        </mc:AlternateContent>
        <mc:AlternateContent xmlns:mc="http://schemas.openxmlformats.org/markup-compatibility/2006">
          <mc:Choice Requires="x14">
            <control shapeId="2057" r:id="rId13" name="Drop Down 9">
              <controlPr defaultSize="0" print="0" autoLine="0" autoPict="0" altText="Escolha entre os valores 1 ou 2 - 1 tap ou 2 taps">
                <anchor moveWithCells="1">
                  <from>
                    <xdr:col>3</xdr:col>
                    <xdr:colOff>38100</xdr:colOff>
                    <xdr:row>3</xdr:row>
                    <xdr:rowOff>57150</xdr:rowOff>
                  </from>
                  <to>
                    <xdr:col>3</xdr:col>
                    <xdr:colOff>3076575</xdr:colOff>
                    <xdr:row>3</xdr:row>
                    <xdr:rowOff>295275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31C98-F7C5-4239-98E2-FB64751BED70}">
  <sheetPr>
    <pageSetUpPr fitToPage="1"/>
  </sheetPr>
  <dimension ref="A1:M1"/>
  <sheetViews>
    <sheetView showGridLines="0" workbookViewId="0">
      <selection activeCell="N1" sqref="N1"/>
    </sheetView>
  </sheetViews>
  <sheetFormatPr defaultRowHeight="15" x14ac:dyDescent="0.25"/>
  <sheetData>
    <row r="1" spans="1:13" ht="38.25" customHeight="1" x14ac:dyDescent="0.25">
      <c r="A1" s="285" t="s">
        <v>49</v>
      </c>
      <c r="B1" s="285"/>
      <c r="C1" s="285"/>
      <c r="D1" s="285"/>
      <c r="E1" s="285"/>
      <c r="F1" s="285"/>
      <c r="G1" s="285"/>
      <c r="H1" s="285"/>
      <c r="I1" s="285"/>
      <c r="J1" s="285"/>
      <c r="K1" s="285"/>
      <c r="L1" s="285"/>
      <c r="M1" s="285"/>
    </row>
  </sheetData>
  <mergeCells count="1">
    <mergeCell ref="A1:M1"/>
  </mergeCells>
  <printOptions horizontalCentered="1"/>
  <pageMargins left="0.31496062992125984" right="0.31496062992125984" top="0.39370078740157483" bottom="0.39370078740157483" header="0.31496062992125984" footer="0.31496062992125984"/>
  <pageSetup paperSize="9" scale="76"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973A0-71E3-4CDF-ADCF-40C4EEB0F861}">
  <sheetPr>
    <pageSetUpPr fitToPage="1"/>
  </sheetPr>
  <dimension ref="A1:G31"/>
  <sheetViews>
    <sheetView showGridLines="0" workbookViewId="0">
      <selection activeCell="A2" sqref="A2"/>
    </sheetView>
  </sheetViews>
  <sheetFormatPr defaultRowHeight="15" x14ac:dyDescent="0.25"/>
  <cols>
    <col min="1" max="1" width="14.140625" customWidth="1"/>
    <col min="2" max="2" width="15" style="1" customWidth="1"/>
    <col min="3" max="3" width="17.85546875" customWidth="1"/>
    <col min="4" max="4" width="21.7109375" customWidth="1"/>
    <col min="5" max="5" width="12.85546875" customWidth="1"/>
    <col min="6" max="6" width="22.28515625" customWidth="1"/>
    <col min="7" max="7" width="14.85546875" customWidth="1"/>
  </cols>
  <sheetData>
    <row r="1" spans="1:7" ht="28.5" x14ac:dyDescent="0.45">
      <c r="A1" s="286" t="s">
        <v>53</v>
      </c>
      <c r="B1" s="287"/>
      <c r="C1" s="287"/>
      <c r="D1" s="287"/>
      <c r="E1" s="287"/>
      <c r="F1" s="287"/>
      <c r="G1" s="288"/>
    </row>
    <row r="2" spans="1:7" x14ac:dyDescent="0.25">
      <c r="A2" s="17"/>
      <c r="B2" s="18" t="s">
        <v>54</v>
      </c>
      <c r="C2" s="18" t="s">
        <v>55</v>
      </c>
      <c r="D2" s="18" t="s">
        <v>56</v>
      </c>
      <c r="E2" s="18" t="s">
        <v>57</v>
      </c>
      <c r="F2" s="18" t="s">
        <v>58</v>
      </c>
      <c r="G2" s="18" t="s">
        <v>59</v>
      </c>
    </row>
    <row r="3" spans="1:7" x14ac:dyDescent="0.25">
      <c r="A3" s="19">
        <v>1</v>
      </c>
      <c r="B3" s="20" t="s">
        <v>60</v>
      </c>
      <c r="C3" s="20">
        <v>31.81</v>
      </c>
      <c r="D3" s="20" t="s">
        <v>61</v>
      </c>
      <c r="E3" s="20">
        <v>42</v>
      </c>
      <c r="F3" s="20">
        <v>1</v>
      </c>
      <c r="G3" s="20" t="s">
        <v>62</v>
      </c>
    </row>
    <row r="4" spans="1:7" x14ac:dyDescent="0.25">
      <c r="A4" s="19">
        <v>2</v>
      </c>
      <c r="B4" s="21" t="s">
        <v>63</v>
      </c>
      <c r="C4" s="21">
        <v>22.73</v>
      </c>
      <c r="D4" s="21" t="s">
        <v>64</v>
      </c>
      <c r="E4" s="21">
        <v>40</v>
      </c>
      <c r="F4" s="21">
        <v>1.5</v>
      </c>
      <c r="G4" s="21" t="s">
        <v>65</v>
      </c>
    </row>
    <row r="5" spans="1:7" x14ac:dyDescent="0.25">
      <c r="A5" s="19">
        <v>3</v>
      </c>
      <c r="B5" s="20" t="s">
        <v>66</v>
      </c>
      <c r="C5" s="20">
        <v>18.190000000000001</v>
      </c>
      <c r="D5" s="20" t="s">
        <v>67</v>
      </c>
      <c r="E5" s="20">
        <v>39</v>
      </c>
      <c r="F5" s="20">
        <v>1.69</v>
      </c>
      <c r="G5" s="20" t="s">
        <v>68</v>
      </c>
    </row>
    <row r="6" spans="1:7" x14ac:dyDescent="0.25">
      <c r="A6" s="19">
        <v>4</v>
      </c>
      <c r="B6" s="21" t="s">
        <v>69</v>
      </c>
      <c r="C6" s="21">
        <v>14.54</v>
      </c>
      <c r="D6" s="21" t="s">
        <v>70</v>
      </c>
      <c r="E6" s="21">
        <v>37</v>
      </c>
      <c r="F6" s="21">
        <v>2.56</v>
      </c>
      <c r="G6" s="21" t="s">
        <v>71</v>
      </c>
    </row>
    <row r="7" spans="1:7" x14ac:dyDescent="0.25">
      <c r="A7" s="19">
        <v>5</v>
      </c>
      <c r="B7" s="20" t="s">
        <v>72</v>
      </c>
      <c r="C7" s="20">
        <v>14.54</v>
      </c>
      <c r="D7" s="20" t="s">
        <v>70</v>
      </c>
      <c r="E7" s="20">
        <v>36</v>
      </c>
      <c r="F7" s="20">
        <v>2.56</v>
      </c>
      <c r="G7" s="20" t="s">
        <v>71</v>
      </c>
    </row>
    <row r="8" spans="1:7" x14ac:dyDescent="0.25">
      <c r="A8" s="19">
        <v>6</v>
      </c>
      <c r="B8" s="21" t="s">
        <v>73</v>
      </c>
      <c r="C8" s="21">
        <v>11.36</v>
      </c>
      <c r="D8" s="21" t="s">
        <v>74</v>
      </c>
      <c r="E8" s="21">
        <v>34</v>
      </c>
      <c r="F8" s="21">
        <v>3.52</v>
      </c>
      <c r="G8" s="21" t="s">
        <v>75</v>
      </c>
    </row>
    <row r="9" spans="1:7" x14ac:dyDescent="0.25">
      <c r="A9" s="19">
        <v>7</v>
      </c>
      <c r="B9" s="20" t="s">
        <v>76</v>
      </c>
      <c r="C9" s="20">
        <v>10</v>
      </c>
      <c r="D9" s="20" t="s">
        <v>77</v>
      </c>
      <c r="E9" s="20">
        <v>33</v>
      </c>
      <c r="F9" s="20">
        <v>4</v>
      </c>
      <c r="G9" s="20" t="s">
        <v>78</v>
      </c>
    </row>
    <row r="10" spans="1:7" x14ac:dyDescent="0.25">
      <c r="A10" s="19">
        <v>8</v>
      </c>
      <c r="B10" s="21" t="s">
        <v>79</v>
      </c>
      <c r="C10" s="21">
        <v>9.09</v>
      </c>
      <c r="D10" s="21" t="s">
        <v>80</v>
      </c>
      <c r="E10" s="21">
        <v>33</v>
      </c>
      <c r="F10" s="21">
        <v>4.4000000000000004</v>
      </c>
      <c r="G10" s="21" t="s">
        <v>81</v>
      </c>
    </row>
    <row r="11" spans="1:7" x14ac:dyDescent="0.25">
      <c r="A11" s="19">
        <v>9</v>
      </c>
      <c r="B11" s="20" t="s">
        <v>82</v>
      </c>
      <c r="C11" s="20">
        <v>8</v>
      </c>
      <c r="D11" s="20" t="s">
        <v>83</v>
      </c>
      <c r="E11" s="20">
        <v>31</v>
      </c>
      <c r="F11" s="20">
        <v>4.84</v>
      </c>
      <c r="G11" s="20" t="s">
        <v>84</v>
      </c>
    </row>
    <row r="12" spans="1:7" x14ac:dyDescent="0.25">
      <c r="A12" s="19">
        <v>10</v>
      </c>
      <c r="B12" s="21" t="s">
        <v>85</v>
      </c>
      <c r="C12" s="21">
        <v>7</v>
      </c>
      <c r="D12" s="21" t="s">
        <v>86</v>
      </c>
      <c r="E12" s="21">
        <v>30</v>
      </c>
      <c r="F12" s="21">
        <v>5.5</v>
      </c>
      <c r="G12" s="21" t="s">
        <v>87</v>
      </c>
    </row>
    <row r="13" spans="1:7" x14ac:dyDescent="0.25">
      <c r="A13" s="19">
        <v>11</v>
      </c>
      <c r="B13" s="20" t="s">
        <v>88</v>
      </c>
      <c r="C13" s="20">
        <v>6</v>
      </c>
      <c r="D13" s="20" t="s">
        <v>89</v>
      </c>
      <c r="E13" s="20">
        <v>29</v>
      </c>
      <c r="F13" s="20">
        <v>6.6</v>
      </c>
      <c r="G13" s="20" t="s">
        <v>90</v>
      </c>
    </row>
    <row r="14" spans="1:7" x14ac:dyDescent="0.25">
      <c r="A14" s="19">
        <v>12</v>
      </c>
      <c r="B14" s="21" t="s">
        <v>91</v>
      </c>
      <c r="C14" s="21">
        <v>6</v>
      </c>
      <c r="D14" s="21" t="s">
        <v>89</v>
      </c>
      <c r="E14" s="21">
        <v>29</v>
      </c>
      <c r="F14" s="21">
        <v>6.25</v>
      </c>
      <c r="G14" s="21" t="s">
        <v>90</v>
      </c>
    </row>
    <row r="15" spans="1:7" x14ac:dyDescent="0.25">
      <c r="A15" s="19">
        <v>13</v>
      </c>
      <c r="B15" s="20" t="s">
        <v>92</v>
      </c>
      <c r="C15" s="20">
        <v>5</v>
      </c>
      <c r="D15" s="20" t="s">
        <v>93</v>
      </c>
      <c r="E15" s="20">
        <v>28</v>
      </c>
      <c r="F15" s="20">
        <v>8</v>
      </c>
      <c r="G15" s="20" t="s">
        <v>94</v>
      </c>
    </row>
    <row r="16" spans="1:7" x14ac:dyDescent="0.25">
      <c r="A16" s="19">
        <v>14</v>
      </c>
      <c r="B16" s="21" t="s">
        <v>95</v>
      </c>
      <c r="C16" s="21">
        <v>5</v>
      </c>
      <c r="D16" s="21" t="s">
        <v>93</v>
      </c>
      <c r="E16" s="21">
        <v>28</v>
      </c>
      <c r="F16" s="21">
        <v>7.84</v>
      </c>
      <c r="G16" s="21" t="s">
        <v>96</v>
      </c>
    </row>
    <row r="17" spans="1:7" x14ac:dyDescent="0.25">
      <c r="A17" s="19">
        <v>15</v>
      </c>
      <c r="B17" s="20" t="s">
        <v>97</v>
      </c>
      <c r="C17" s="20">
        <v>4</v>
      </c>
      <c r="D17" s="20" t="s">
        <v>98</v>
      </c>
      <c r="E17" s="20">
        <v>27</v>
      </c>
      <c r="F17" s="20">
        <v>10.64</v>
      </c>
      <c r="G17" s="20" t="s">
        <v>99</v>
      </c>
    </row>
    <row r="18" spans="1:7" x14ac:dyDescent="0.25">
      <c r="A18" s="19">
        <v>16</v>
      </c>
      <c r="B18" s="21" t="s">
        <v>100</v>
      </c>
      <c r="C18" s="21">
        <v>3.6360000000000001</v>
      </c>
      <c r="D18" s="21" t="s">
        <v>101</v>
      </c>
      <c r="E18" s="21">
        <v>26</v>
      </c>
      <c r="F18" s="21">
        <v>11.76</v>
      </c>
      <c r="G18" s="21" t="s">
        <v>102</v>
      </c>
    </row>
    <row r="19" spans="1:7" x14ac:dyDescent="0.25">
      <c r="A19" s="19">
        <v>17</v>
      </c>
      <c r="B19" s="20" t="s">
        <v>103</v>
      </c>
      <c r="C19" s="20">
        <v>4</v>
      </c>
      <c r="D19" s="20" t="s">
        <v>104</v>
      </c>
      <c r="E19" s="20">
        <v>27</v>
      </c>
      <c r="F19" s="20">
        <v>10.24</v>
      </c>
      <c r="G19" s="20" t="s">
        <v>99</v>
      </c>
    </row>
    <row r="20" spans="1:7" x14ac:dyDescent="0.25">
      <c r="A20" s="19">
        <v>18</v>
      </c>
      <c r="B20" s="21" t="s">
        <v>105</v>
      </c>
      <c r="C20" s="21">
        <v>2.54</v>
      </c>
      <c r="D20" s="21" t="s">
        <v>106</v>
      </c>
      <c r="E20" s="21">
        <v>24</v>
      </c>
      <c r="F20" s="21">
        <v>16</v>
      </c>
      <c r="G20" s="21" t="s">
        <v>107</v>
      </c>
    </row>
    <row r="21" spans="1:7" x14ac:dyDescent="0.25">
      <c r="A21" s="19">
        <v>19</v>
      </c>
      <c r="B21" s="20" t="s">
        <v>108</v>
      </c>
      <c r="C21" s="20">
        <v>2.4500000000000002</v>
      </c>
      <c r="D21" s="20" t="s">
        <v>109</v>
      </c>
      <c r="E21" s="20">
        <v>24</v>
      </c>
      <c r="F21" s="20">
        <v>16.32</v>
      </c>
      <c r="G21" s="20" t="s">
        <v>107</v>
      </c>
    </row>
    <row r="22" spans="1:7" x14ac:dyDescent="0.25">
      <c r="A22" s="19">
        <v>20</v>
      </c>
      <c r="B22" s="21" t="s">
        <v>110</v>
      </c>
      <c r="C22" s="21">
        <v>2.9</v>
      </c>
      <c r="D22" s="21" t="s">
        <v>111</v>
      </c>
      <c r="E22" s="21">
        <v>25</v>
      </c>
      <c r="F22" s="21">
        <v>14.44</v>
      </c>
      <c r="G22" s="21" t="s">
        <v>112</v>
      </c>
    </row>
    <row r="23" spans="1:7" x14ac:dyDescent="0.25">
      <c r="A23" s="19">
        <v>21</v>
      </c>
      <c r="B23" s="20" t="s">
        <v>113</v>
      </c>
      <c r="C23" s="20">
        <v>2</v>
      </c>
      <c r="D23" s="20" t="s">
        <v>114</v>
      </c>
      <c r="E23" s="20">
        <v>21</v>
      </c>
      <c r="F23" s="20">
        <v>20.09</v>
      </c>
      <c r="G23" s="20" t="s">
        <v>115</v>
      </c>
    </row>
    <row r="24" spans="1:7" x14ac:dyDescent="0.25">
      <c r="A24" s="19">
        <v>22</v>
      </c>
      <c r="B24" s="21" t="s">
        <v>116</v>
      </c>
      <c r="C24" s="21">
        <v>1.36</v>
      </c>
      <c r="D24" s="21" t="s">
        <v>117</v>
      </c>
      <c r="E24" s="21">
        <v>18</v>
      </c>
      <c r="F24" s="21">
        <v>31.5</v>
      </c>
      <c r="G24" s="21" t="s">
        <v>118</v>
      </c>
    </row>
    <row r="25" spans="1:7" x14ac:dyDescent="0.25">
      <c r="A25" s="19">
        <v>23</v>
      </c>
      <c r="B25" s="20" t="s">
        <v>119</v>
      </c>
      <c r="C25" s="20">
        <v>1.6</v>
      </c>
      <c r="D25" s="20" t="s">
        <v>120</v>
      </c>
      <c r="E25" s="20">
        <v>19</v>
      </c>
      <c r="F25" s="20">
        <v>25</v>
      </c>
      <c r="G25" s="20" t="s">
        <v>121</v>
      </c>
    </row>
    <row r="26" spans="1:7" x14ac:dyDescent="0.25">
      <c r="A26" s="19">
        <v>24</v>
      </c>
      <c r="B26" s="21" t="s">
        <v>122</v>
      </c>
      <c r="C26" s="21">
        <v>1</v>
      </c>
      <c r="D26" s="21" t="s">
        <v>123</v>
      </c>
      <c r="E26" s="21">
        <v>16</v>
      </c>
      <c r="F26" s="21">
        <v>40</v>
      </c>
      <c r="G26" s="21" t="s">
        <v>124</v>
      </c>
    </row>
    <row r="27" spans="1:7" x14ac:dyDescent="0.25">
      <c r="A27" s="19">
        <v>25</v>
      </c>
      <c r="B27" s="20" t="s">
        <v>125</v>
      </c>
      <c r="C27" s="20">
        <v>1.1359999999999999</v>
      </c>
      <c r="D27" s="20" t="s">
        <v>126</v>
      </c>
      <c r="E27" s="20">
        <v>16</v>
      </c>
      <c r="F27" s="20">
        <v>36</v>
      </c>
      <c r="G27" s="20" t="s">
        <v>127</v>
      </c>
    </row>
    <row r="28" spans="1:7" x14ac:dyDescent="0.25">
      <c r="A28" s="19">
        <v>26</v>
      </c>
      <c r="B28" s="21" t="s">
        <v>128</v>
      </c>
      <c r="C28" s="21">
        <v>0.75</v>
      </c>
      <c r="D28" s="21" t="s">
        <v>129</v>
      </c>
      <c r="E28" s="21">
        <v>14</v>
      </c>
      <c r="F28" s="21">
        <v>54</v>
      </c>
      <c r="G28" s="21" t="s">
        <v>130</v>
      </c>
    </row>
    <row r="29" spans="1:7" ht="27" customHeight="1" thickBot="1" x14ac:dyDescent="0.3">
      <c r="A29" s="294" t="s">
        <v>199</v>
      </c>
      <c r="B29" s="294"/>
      <c r="C29" s="294"/>
      <c r="D29" s="294"/>
      <c r="E29" s="294"/>
      <c r="F29" s="294"/>
      <c r="G29" s="294"/>
    </row>
    <row r="30" spans="1:7" ht="27.75" customHeight="1" x14ac:dyDescent="0.25">
      <c r="A30" s="289" t="s">
        <v>205</v>
      </c>
      <c r="B30" s="290"/>
      <c r="C30" s="290"/>
      <c r="D30" s="290"/>
      <c r="E30" s="290"/>
      <c r="F30" s="290"/>
      <c r="G30" s="291"/>
    </row>
    <row r="31" spans="1:7" ht="27.75" customHeight="1" thickBot="1" x14ac:dyDescent="0.3">
      <c r="A31" s="223" t="s">
        <v>30</v>
      </c>
      <c r="B31" s="292"/>
      <c r="C31" s="292"/>
      <c r="D31" s="292"/>
      <c r="E31" s="292"/>
      <c r="F31" s="292"/>
      <c r="G31" s="293"/>
    </row>
  </sheetData>
  <mergeCells count="4">
    <mergeCell ref="A1:G1"/>
    <mergeCell ref="A30:G30"/>
    <mergeCell ref="A31:G31"/>
    <mergeCell ref="A29:G29"/>
  </mergeCells>
  <hyperlinks>
    <hyperlink ref="A31" r:id="rId1" xr:uid="{F150FFDA-3C38-4281-8EDD-5712FAC54A5E}"/>
  </hyperlinks>
  <printOptions horizontalCentered="1"/>
  <pageMargins left="0.31496062992125984" right="0.31496062992125984" top="0.59055118110236227" bottom="0.59055118110236227" header="0.31496062992125984" footer="0.31496062992125984"/>
  <pageSetup paperSize="9" orientation="landscape" horizontalDpi="0"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193C9-34A4-4178-897D-6DA129D8319F}">
  <sheetPr>
    <pageSetUpPr fitToPage="1"/>
  </sheetPr>
  <dimension ref="A1:O31"/>
  <sheetViews>
    <sheetView showGridLines="0" workbookViewId="0">
      <selection activeCell="A2" sqref="A2"/>
    </sheetView>
  </sheetViews>
  <sheetFormatPr defaultRowHeight="15" x14ac:dyDescent="0.25"/>
  <cols>
    <col min="1" max="6" width="17.42578125" style="2" customWidth="1"/>
    <col min="7" max="14" width="9.85546875" style="2" customWidth="1"/>
    <col min="15" max="15" width="11.85546875" style="2" customWidth="1"/>
    <col min="16" max="16384" width="9.140625" style="2"/>
  </cols>
  <sheetData>
    <row r="1" spans="1:15" ht="44.25" customHeight="1" x14ac:dyDescent="0.25">
      <c r="A1" s="315" t="s">
        <v>240</v>
      </c>
      <c r="B1" s="315"/>
      <c r="C1" s="315"/>
      <c r="D1" s="315"/>
      <c r="E1" s="315"/>
      <c r="F1" s="315"/>
      <c r="G1" s="316" t="s">
        <v>139</v>
      </c>
      <c r="H1" s="317"/>
      <c r="I1" s="317"/>
      <c r="J1" s="317"/>
      <c r="K1" s="317"/>
      <c r="L1" s="317"/>
      <c r="M1" s="317"/>
      <c r="N1" s="317"/>
      <c r="O1" s="318"/>
    </row>
    <row r="2" spans="1:15" ht="36.75" customHeight="1" x14ac:dyDescent="0.25">
      <c r="A2" s="174">
        <f>10.2*15/100</f>
        <v>1.53</v>
      </c>
      <c r="B2" s="174">
        <f>22*22/100</f>
        <v>4.84</v>
      </c>
      <c r="C2" s="174">
        <f>25.4*60/100</f>
        <v>15.24</v>
      </c>
      <c r="D2" s="174">
        <f>32*45/100</f>
        <v>14.4</v>
      </c>
      <c r="E2" s="174">
        <f>38*63/100</f>
        <v>23.94</v>
      </c>
      <c r="F2" s="174">
        <f>42*70/100</f>
        <v>29.4</v>
      </c>
    </row>
    <row r="3" spans="1:15" ht="36.75" customHeight="1" x14ac:dyDescent="0.25">
      <c r="A3" s="174">
        <f>13*13/100</f>
        <v>1.69</v>
      </c>
      <c r="B3" s="174">
        <f>22*24/100</f>
        <v>5.28</v>
      </c>
      <c r="C3" s="174">
        <f>28.6*33/100</f>
        <v>9.4380000000000006</v>
      </c>
      <c r="D3" s="174">
        <f>32*52/100</f>
        <v>16.64</v>
      </c>
      <c r="E3" s="174">
        <f>38*66/100</f>
        <v>25.08</v>
      </c>
      <c r="F3" s="174">
        <f>45*45/100</f>
        <v>20.25</v>
      </c>
    </row>
    <row r="4" spans="1:15" ht="36.75" customHeight="1" x14ac:dyDescent="0.25">
      <c r="A4" s="174">
        <f>13*20/100</f>
        <v>2.6</v>
      </c>
      <c r="B4" s="174">
        <f>22*26/100</f>
        <v>5.72</v>
      </c>
      <c r="C4" s="174">
        <f>28.6*33/100</f>
        <v>9.4380000000000006</v>
      </c>
      <c r="D4" s="174">
        <f>32*55/100</f>
        <v>17.600000000000001</v>
      </c>
      <c r="E4" s="174">
        <f>38*75/100</f>
        <v>28.5</v>
      </c>
      <c r="F4" s="174">
        <f>45*56/100</f>
        <v>25.2</v>
      </c>
    </row>
    <row r="5" spans="1:15" ht="36.75" customHeight="1" x14ac:dyDescent="0.25">
      <c r="A5" s="174">
        <f>16*16/100</f>
        <v>2.56</v>
      </c>
      <c r="B5" s="174">
        <f>22*30/100</f>
        <v>6.6</v>
      </c>
      <c r="C5" s="174">
        <f>28.6*38/100</f>
        <v>10.868</v>
      </c>
      <c r="D5" s="174">
        <f>32*59/100</f>
        <v>18.88</v>
      </c>
      <c r="E5" s="174">
        <f>38*80/100</f>
        <v>30.4</v>
      </c>
      <c r="F5" s="174">
        <f>45*70/100</f>
        <v>31.5</v>
      </c>
    </row>
    <row r="6" spans="1:15" ht="36.75" customHeight="1" x14ac:dyDescent="0.25">
      <c r="A6" s="174">
        <f>16*22/100</f>
        <v>3.52</v>
      </c>
      <c r="B6" s="174">
        <f>22*45/100</f>
        <v>9.9</v>
      </c>
      <c r="C6" s="174">
        <f>28.6*42/100</f>
        <v>12.012</v>
      </c>
      <c r="D6" s="174">
        <f>32*66/100</f>
        <v>21.12</v>
      </c>
      <c r="E6" s="174">
        <f>38*90/100</f>
        <v>34.200000000000003</v>
      </c>
      <c r="F6" s="174">
        <f>45*75/100</f>
        <v>33.75</v>
      </c>
    </row>
    <row r="7" spans="1:15" ht="36.75" customHeight="1" x14ac:dyDescent="0.25">
      <c r="A7" s="174">
        <f>16*30/100</f>
        <v>4.8</v>
      </c>
      <c r="B7" s="174">
        <f>25.4*19/100</f>
        <v>4.8259999999999996</v>
      </c>
      <c r="C7" s="174">
        <f>28.6*43/100</f>
        <v>12.298</v>
      </c>
      <c r="D7" s="174">
        <f>32*69/100</f>
        <v>22.08</v>
      </c>
      <c r="E7" s="174">
        <f>38*94/100</f>
        <v>35.72</v>
      </c>
      <c r="F7" s="174">
        <f>50*51/100</f>
        <v>25.5</v>
      </c>
    </row>
    <row r="8" spans="1:15" ht="36.75" customHeight="1" x14ac:dyDescent="0.25">
      <c r="A8" s="174">
        <f>16*40/100</f>
        <v>6.4</v>
      </c>
      <c r="B8" s="174">
        <f>25.4*20/100</f>
        <v>5.08</v>
      </c>
      <c r="C8" s="174">
        <f>28.6*50/100</f>
        <v>14.3</v>
      </c>
      <c r="D8" s="174">
        <f>35*50/100</f>
        <v>17.5</v>
      </c>
      <c r="E8" s="174">
        <f>40*40/100</f>
        <v>16</v>
      </c>
      <c r="F8" s="174">
        <f>50*60/100</f>
        <v>30</v>
      </c>
    </row>
    <row r="9" spans="1:15" ht="36.75" customHeight="1" x14ac:dyDescent="0.25">
      <c r="A9" s="174">
        <f>19*41/100</f>
        <v>7.79</v>
      </c>
      <c r="B9" s="174">
        <f>25.4*25/100</f>
        <v>6.35</v>
      </c>
      <c r="C9" s="174">
        <f>28.6*60/100</f>
        <v>17.16</v>
      </c>
      <c r="D9" s="174">
        <f>38*40/100</f>
        <v>15.2</v>
      </c>
      <c r="E9" s="174">
        <f>40*44/100</f>
        <v>17.600000000000001</v>
      </c>
      <c r="F9" s="174">
        <f>50*70/100/100</f>
        <v>0.35</v>
      </c>
    </row>
    <row r="10" spans="1:15" ht="36.75" customHeight="1" x14ac:dyDescent="0.25">
      <c r="A10" s="174">
        <f>20*19/100</f>
        <v>3.8</v>
      </c>
      <c r="B10" s="174">
        <f>25.4*32/100</f>
        <v>8.1280000000000001</v>
      </c>
      <c r="C10" s="174">
        <f>32*22/100</f>
        <v>7.04</v>
      </c>
      <c r="D10" s="174">
        <f>38*45/100</f>
        <v>17.100000000000001</v>
      </c>
      <c r="E10" s="174">
        <f>40*55/100</f>
        <v>22</v>
      </c>
      <c r="F10" s="174">
        <f>50*80/100</f>
        <v>40</v>
      </c>
    </row>
    <row r="11" spans="1:15" ht="36.75" customHeight="1" x14ac:dyDescent="0.25">
      <c r="A11" s="174">
        <f>20*22/100</f>
        <v>4.4000000000000004</v>
      </c>
      <c r="B11" s="174">
        <f>25.4*35/100</f>
        <v>8.89</v>
      </c>
      <c r="C11" s="174">
        <f>32*28/100</f>
        <v>8.9600000000000009</v>
      </c>
      <c r="D11" s="174">
        <f>38*50/100</f>
        <v>19</v>
      </c>
      <c r="E11" s="174">
        <f>40*65/100</f>
        <v>26</v>
      </c>
      <c r="F11" s="174">
        <f>50*95/100</f>
        <v>47.5</v>
      </c>
    </row>
    <row r="12" spans="1:15" ht="39" customHeight="1" x14ac:dyDescent="0.25">
      <c r="A12" s="174">
        <f>20*30/100</f>
        <v>6</v>
      </c>
      <c r="B12" s="174">
        <f>25.4*42/100</f>
        <v>10.667999999999999</v>
      </c>
      <c r="C12" s="174">
        <f>32*32/100</f>
        <v>10.24</v>
      </c>
      <c r="D12" s="174">
        <f>38*55/100</f>
        <v>20.9</v>
      </c>
      <c r="E12" s="174">
        <f>42*44/100</f>
        <v>18.48</v>
      </c>
      <c r="F12" s="174">
        <f>60.8*75/100</f>
        <v>45.6</v>
      </c>
    </row>
    <row r="13" spans="1:15" ht="42.75" customHeight="1" x14ac:dyDescent="0.25">
      <c r="A13" s="174">
        <f>20.5*30/100</f>
        <v>6.15</v>
      </c>
      <c r="B13" s="174">
        <f>25.4*50/100</f>
        <v>12.7</v>
      </c>
      <c r="C13" s="174">
        <f>32*40/100</f>
        <v>12.8</v>
      </c>
      <c r="D13" s="174">
        <f>38*56/100</f>
        <v>21.28</v>
      </c>
      <c r="E13" s="174">
        <f>42*53/100</f>
        <v>22.26</v>
      </c>
      <c r="F13" s="174">
        <f>60.8*90/100</f>
        <v>54.72</v>
      </c>
    </row>
    <row r="14" spans="1:15" ht="36.75" customHeight="1" thickBot="1" x14ac:dyDescent="0.3">
      <c r="A14" s="319" t="s">
        <v>133</v>
      </c>
      <c r="B14" s="319"/>
      <c r="C14" s="319"/>
      <c r="D14" s="319"/>
      <c r="E14" s="319"/>
      <c r="F14" s="319"/>
      <c r="G14" s="320" t="s">
        <v>133</v>
      </c>
      <c r="H14" s="320"/>
      <c r="I14" s="320"/>
      <c r="J14" s="320"/>
      <c r="K14" s="320"/>
      <c r="L14" s="320"/>
      <c r="M14" s="320"/>
      <c r="N14" s="320"/>
      <c r="O14" s="320"/>
    </row>
    <row r="15" spans="1:15" x14ac:dyDescent="0.25">
      <c r="C15" s="298" t="s">
        <v>141</v>
      </c>
      <c r="D15" s="299"/>
      <c r="I15" s="302" t="s">
        <v>140</v>
      </c>
      <c r="J15" s="303"/>
    </row>
    <row r="16" spans="1:15" ht="15.75" thickBot="1" x14ac:dyDescent="0.3">
      <c r="C16" s="300"/>
      <c r="D16" s="301"/>
      <c r="I16" s="304"/>
      <c r="J16" s="305"/>
    </row>
    <row r="18" spans="1:9" ht="15.75" thickBot="1" x14ac:dyDescent="0.3"/>
    <row r="19" spans="1:9" x14ac:dyDescent="0.25">
      <c r="E19" s="306" t="s">
        <v>142</v>
      </c>
      <c r="F19" s="307"/>
      <c r="G19" s="307"/>
      <c r="H19" s="307"/>
      <c r="I19" s="308"/>
    </row>
    <row r="20" spans="1:9" x14ac:dyDescent="0.25">
      <c r="E20" s="309"/>
      <c r="F20" s="310"/>
      <c r="G20" s="310"/>
      <c r="H20" s="310"/>
      <c r="I20" s="311"/>
    </row>
    <row r="21" spans="1:9" ht="15.75" thickBot="1" x14ac:dyDescent="0.3">
      <c r="E21" s="312"/>
      <c r="F21" s="313"/>
      <c r="G21" s="313"/>
      <c r="H21" s="313"/>
      <c r="I21" s="314"/>
    </row>
    <row r="23" spans="1:9" ht="25.5" customHeight="1" x14ac:dyDescent="0.25">
      <c r="A23" s="296" t="s">
        <v>145</v>
      </c>
      <c r="B23" s="296"/>
      <c r="C23" s="296"/>
      <c r="D23" s="296"/>
      <c r="E23" s="296"/>
    </row>
    <row r="24" spans="1:9" ht="25.5" customHeight="1" x14ac:dyDescent="0.25">
      <c r="A24" s="297" t="s">
        <v>146</v>
      </c>
      <c r="B24" s="295"/>
      <c r="C24" s="295"/>
      <c r="D24" s="295"/>
      <c r="E24" s="295"/>
    </row>
    <row r="25" spans="1:9" ht="25.5" customHeight="1" x14ac:dyDescent="0.25">
      <c r="A25" s="297" t="s">
        <v>147</v>
      </c>
      <c r="B25" s="295"/>
      <c r="C25" s="295"/>
      <c r="D25" s="295"/>
      <c r="E25" s="295"/>
    </row>
    <row r="26" spans="1:9" ht="25.5" customHeight="1" x14ac:dyDescent="0.25">
      <c r="A26" s="297" t="s">
        <v>148</v>
      </c>
      <c r="B26" s="295"/>
      <c r="C26" s="295"/>
      <c r="D26" s="295"/>
      <c r="E26" s="295"/>
    </row>
    <row r="27" spans="1:9" ht="25.5" customHeight="1" x14ac:dyDescent="0.25">
      <c r="A27" s="297" t="s">
        <v>149</v>
      </c>
      <c r="B27" s="295"/>
      <c r="C27" s="295"/>
      <c r="D27" s="295"/>
      <c r="E27" s="295"/>
    </row>
    <row r="28" spans="1:9" ht="25.5" customHeight="1" x14ac:dyDescent="0.25">
      <c r="A28" s="295"/>
      <c r="B28" s="295"/>
      <c r="C28" s="295"/>
      <c r="D28" s="295"/>
      <c r="E28" s="295"/>
    </row>
    <row r="29" spans="1:9" ht="25.5" customHeight="1" x14ac:dyDescent="0.25">
      <c r="A29" s="295"/>
      <c r="B29" s="295"/>
      <c r="C29" s="295"/>
      <c r="D29" s="295"/>
      <c r="E29" s="295"/>
    </row>
    <row r="30" spans="1:9" ht="25.5" customHeight="1" x14ac:dyDescent="0.25">
      <c r="A30" s="295"/>
      <c r="B30" s="295"/>
      <c r="C30" s="295"/>
      <c r="D30" s="295"/>
      <c r="E30" s="295"/>
    </row>
    <row r="31" spans="1:9" ht="25.5" customHeight="1" x14ac:dyDescent="0.25"/>
  </sheetData>
  <mergeCells count="15">
    <mergeCell ref="C15:D16"/>
    <mergeCell ref="I15:J16"/>
    <mergeCell ref="E19:I21"/>
    <mergeCell ref="A1:F1"/>
    <mergeCell ref="G1:O1"/>
    <mergeCell ref="A14:F14"/>
    <mergeCell ref="G14:O14"/>
    <mergeCell ref="A28:E28"/>
    <mergeCell ref="A29:E29"/>
    <mergeCell ref="A30:E30"/>
    <mergeCell ref="A23:E23"/>
    <mergeCell ref="A24:E24"/>
    <mergeCell ref="A25:E25"/>
    <mergeCell ref="A26:E26"/>
    <mergeCell ref="A27:E27"/>
  </mergeCells>
  <hyperlinks>
    <hyperlink ref="A24" r:id="rId1" xr:uid="{66120E84-ECB4-4B5E-B916-8255A532E864}"/>
    <hyperlink ref="A25" r:id="rId2" xr:uid="{B150D40D-B986-4792-A72B-EC251EC90695}"/>
    <hyperlink ref="A26" r:id="rId3" xr:uid="{7D016B20-B36E-4F07-99FB-AFAADA999F9A}"/>
    <hyperlink ref="A27" r:id="rId4" location="D[A:carretel%20pl%C3%A1tico%20transformadores]" xr:uid="{80E8C0AD-149C-4CF0-9122-054F55338173}"/>
  </hyperlinks>
  <printOptions horizontalCentered="1"/>
  <pageMargins left="0.51181102362204722" right="0.51181102362204722" top="0.78740157480314965" bottom="0.78740157480314965" header="0.31496062992125984" footer="0.31496062992125984"/>
  <pageSetup paperSize="9" scale="73" fitToHeight="2" orientation="landscape" horizontalDpi="0" verticalDpi="0" r:id="rId5"/>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CBA65-120C-4766-B8FA-8714FFF790D8}">
  <dimension ref="A1:L33"/>
  <sheetViews>
    <sheetView showGridLines="0" workbookViewId="0">
      <selection activeCell="A2" sqref="A2"/>
    </sheetView>
  </sheetViews>
  <sheetFormatPr defaultRowHeight="15" x14ac:dyDescent="0.25"/>
  <cols>
    <col min="1" max="1" width="17.28515625" style="2" customWidth="1"/>
    <col min="2" max="6" width="9.140625" style="2"/>
    <col min="7" max="7" width="20.5703125" style="2" customWidth="1"/>
    <col min="8" max="8" width="21.28515625" style="2" customWidth="1"/>
    <col min="9" max="9" width="3.7109375" style="2" customWidth="1"/>
    <col min="10" max="10" width="18.42578125" style="2" customWidth="1"/>
    <col min="11" max="16384" width="9.140625" style="2"/>
  </cols>
  <sheetData>
    <row r="1" spans="1:12" ht="29.25" customHeight="1" x14ac:dyDescent="0.25">
      <c r="A1" s="321" t="s">
        <v>238</v>
      </c>
      <c r="B1" s="322"/>
      <c r="C1" s="322"/>
      <c r="D1" s="322"/>
      <c r="E1" s="322"/>
      <c r="F1" s="322"/>
      <c r="G1" s="322"/>
      <c r="H1" s="322"/>
    </row>
    <row r="2" spans="1:12" ht="55.5" customHeight="1" x14ac:dyDescent="0.25">
      <c r="A2" s="165" t="s">
        <v>214</v>
      </c>
      <c r="B2" s="165" t="s">
        <v>215</v>
      </c>
      <c r="C2" s="165" t="s">
        <v>216</v>
      </c>
      <c r="D2" s="165" t="s">
        <v>217</v>
      </c>
      <c r="E2" s="165" t="s">
        <v>218</v>
      </c>
      <c r="F2" s="165" t="s">
        <v>219</v>
      </c>
      <c r="G2" s="170" t="s">
        <v>220</v>
      </c>
      <c r="H2" s="170" t="s">
        <v>239</v>
      </c>
    </row>
    <row r="3" spans="1:12" ht="24" customHeight="1" x14ac:dyDescent="0.25">
      <c r="A3" s="166" t="s">
        <v>221</v>
      </c>
      <c r="B3" s="166">
        <v>48</v>
      </c>
      <c r="C3" s="166">
        <v>32</v>
      </c>
      <c r="D3" s="167">
        <v>16</v>
      </c>
      <c r="E3" s="166">
        <v>8</v>
      </c>
      <c r="F3" s="166"/>
      <c r="G3" s="166">
        <v>120</v>
      </c>
      <c r="H3" s="166">
        <f>B3/6*(1.5*B3-B3/6)</f>
        <v>512</v>
      </c>
    </row>
    <row r="4" spans="1:12" ht="24" customHeight="1" x14ac:dyDescent="0.25">
      <c r="A4" s="168" t="s">
        <v>222</v>
      </c>
      <c r="B4" s="168">
        <v>60</v>
      </c>
      <c r="C4" s="168">
        <v>40</v>
      </c>
      <c r="D4" s="167">
        <v>20</v>
      </c>
      <c r="E4" s="168">
        <v>10</v>
      </c>
      <c r="F4" s="168"/>
      <c r="G4" s="168">
        <v>190</v>
      </c>
      <c r="H4" s="168">
        <f t="shared" ref="H4:H15" si="0">B4/6*(1.5*B4-B4/6)</f>
        <v>800</v>
      </c>
    </row>
    <row r="5" spans="1:12" ht="24" customHeight="1" x14ac:dyDescent="0.25">
      <c r="A5" s="166" t="s">
        <v>223</v>
      </c>
      <c r="B5" s="166">
        <v>66</v>
      </c>
      <c r="C5" s="166">
        <v>44</v>
      </c>
      <c r="D5" s="167">
        <v>22</v>
      </c>
      <c r="E5" s="166">
        <v>11</v>
      </c>
      <c r="F5" s="166"/>
      <c r="G5" s="166">
        <v>225</v>
      </c>
      <c r="H5" s="166">
        <f t="shared" si="0"/>
        <v>968</v>
      </c>
    </row>
    <row r="6" spans="1:12" ht="24" customHeight="1" x14ac:dyDescent="0.25">
      <c r="A6" s="168" t="s">
        <v>224</v>
      </c>
      <c r="B6" s="168">
        <v>75</v>
      </c>
      <c r="C6" s="168">
        <v>50</v>
      </c>
      <c r="D6" s="167">
        <v>25</v>
      </c>
      <c r="E6" s="168">
        <v>12.5</v>
      </c>
      <c r="F6" s="168">
        <v>6</v>
      </c>
      <c r="G6" s="168">
        <v>300</v>
      </c>
      <c r="H6" s="168">
        <f t="shared" si="0"/>
        <v>1250</v>
      </c>
    </row>
    <row r="7" spans="1:12" ht="24" customHeight="1" x14ac:dyDescent="0.25">
      <c r="A7" s="166" t="s">
        <v>225</v>
      </c>
      <c r="B7" s="166">
        <v>84</v>
      </c>
      <c r="C7" s="166">
        <v>56</v>
      </c>
      <c r="D7" s="167">
        <v>28</v>
      </c>
      <c r="E7" s="166">
        <v>14</v>
      </c>
      <c r="F7" s="166">
        <v>7</v>
      </c>
      <c r="G7" s="166">
        <v>365</v>
      </c>
      <c r="H7" s="166">
        <f t="shared" si="0"/>
        <v>1568</v>
      </c>
    </row>
    <row r="8" spans="1:12" ht="24" customHeight="1" x14ac:dyDescent="0.25">
      <c r="A8" s="168" t="s">
        <v>226</v>
      </c>
      <c r="B8" s="168">
        <v>96</v>
      </c>
      <c r="C8" s="168">
        <v>64</v>
      </c>
      <c r="D8" s="167">
        <v>32</v>
      </c>
      <c r="E8" s="168">
        <v>16</v>
      </c>
      <c r="F8" s="168">
        <v>8</v>
      </c>
      <c r="G8" s="168">
        <v>480</v>
      </c>
      <c r="H8" s="168">
        <f t="shared" si="0"/>
        <v>2048</v>
      </c>
    </row>
    <row r="9" spans="1:12" ht="24" customHeight="1" x14ac:dyDescent="0.25">
      <c r="A9" s="166" t="s">
        <v>227</v>
      </c>
      <c r="B9" s="166">
        <v>114</v>
      </c>
      <c r="C9" s="166">
        <v>76</v>
      </c>
      <c r="D9" s="167">
        <v>38</v>
      </c>
      <c r="E9" s="166">
        <v>19</v>
      </c>
      <c r="F9" s="166">
        <v>8</v>
      </c>
      <c r="G9" s="166">
        <v>675</v>
      </c>
      <c r="H9" s="166">
        <f t="shared" si="0"/>
        <v>2888</v>
      </c>
    </row>
    <row r="10" spans="1:12" ht="24" customHeight="1" x14ac:dyDescent="0.25">
      <c r="A10" s="168" t="s">
        <v>228</v>
      </c>
      <c r="B10" s="168">
        <v>132</v>
      </c>
      <c r="C10" s="168">
        <v>88</v>
      </c>
      <c r="D10" s="167">
        <v>44</v>
      </c>
      <c r="E10" s="168">
        <v>22</v>
      </c>
      <c r="F10" s="168">
        <v>8</v>
      </c>
      <c r="G10" s="168">
        <v>900</v>
      </c>
      <c r="H10" s="168">
        <f t="shared" si="0"/>
        <v>3872</v>
      </c>
    </row>
    <row r="11" spans="1:12" ht="24" customHeight="1" x14ac:dyDescent="0.25">
      <c r="A11" s="166" t="s">
        <v>229</v>
      </c>
      <c r="B11" s="166">
        <v>150</v>
      </c>
      <c r="C11" s="166">
        <v>100</v>
      </c>
      <c r="D11" s="167">
        <v>50</v>
      </c>
      <c r="E11" s="166">
        <v>25</v>
      </c>
      <c r="F11" s="166">
        <v>9.5</v>
      </c>
      <c r="G11" s="166">
        <v>1170</v>
      </c>
      <c r="H11" s="166">
        <f t="shared" si="0"/>
        <v>5000</v>
      </c>
    </row>
    <row r="12" spans="1:12" ht="24" customHeight="1" x14ac:dyDescent="0.25">
      <c r="A12" s="168" t="s">
        <v>230</v>
      </c>
      <c r="B12" s="168">
        <v>180</v>
      </c>
      <c r="C12" s="168">
        <v>120</v>
      </c>
      <c r="D12" s="167">
        <v>60</v>
      </c>
      <c r="E12" s="168">
        <v>30</v>
      </c>
      <c r="F12" s="168">
        <v>9.5</v>
      </c>
      <c r="G12" s="168">
        <v>1680</v>
      </c>
      <c r="H12" s="168">
        <f t="shared" si="0"/>
        <v>7200</v>
      </c>
    </row>
    <row r="13" spans="1:12" ht="24" customHeight="1" x14ac:dyDescent="0.25">
      <c r="A13" s="166" t="s">
        <v>231</v>
      </c>
      <c r="B13" s="166">
        <v>210</v>
      </c>
      <c r="C13" s="166">
        <v>140</v>
      </c>
      <c r="D13" s="167">
        <v>70</v>
      </c>
      <c r="E13" s="166">
        <v>35</v>
      </c>
      <c r="F13" s="166">
        <v>11</v>
      </c>
      <c r="G13" s="166">
        <v>2300</v>
      </c>
      <c r="H13" s="166">
        <f t="shared" si="0"/>
        <v>9800</v>
      </c>
    </row>
    <row r="14" spans="1:12" ht="24" customHeight="1" thickBot="1" x14ac:dyDescent="0.3">
      <c r="A14" s="168" t="s">
        <v>232</v>
      </c>
      <c r="B14" s="168">
        <v>240</v>
      </c>
      <c r="C14" s="168">
        <v>160</v>
      </c>
      <c r="D14" s="167">
        <v>80</v>
      </c>
      <c r="E14" s="168">
        <v>40</v>
      </c>
      <c r="F14" s="168">
        <v>11</v>
      </c>
      <c r="G14" s="168">
        <v>3000</v>
      </c>
      <c r="H14" s="168">
        <f t="shared" si="0"/>
        <v>12800</v>
      </c>
    </row>
    <row r="15" spans="1:12" ht="24" customHeight="1" x14ac:dyDescent="0.25">
      <c r="A15" s="166" t="s">
        <v>233</v>
      </c>
      <c r="B15" s="166">
        <v>300</v>
      </c>
      <c r="C15" s="166">
        <v>200</v>
      </c>
      <c r="D15" s="167">
        <v>100</v>
      </c>
      <c r="E15" s="166">
        <v>50</v>
      </c>
      <c r="F15" s="166">
        <v>11</v>
      </c>
      <c r="G15" s="166">
        <v>4700</v>
      </c>
      <c r="H15" s="166">
        <f t="shared" si="0"/>
        <v>20000</v>
      </c>
      <c r="J15" s="329" t="s">
        <v>237</v>
      </c>
      <c r="K15" s="330"/>
      <c r="L15" s="331"/>
    </row>
    <row r="16" spans="1:12" ht="24.75" customHeight="1" x14ac:dyDescent="0.25">
      <c r="J16" s="332"/>
      <c r="K16" s="333"/>
      <c r="L16" s="334"/>
    </row>
    <row r="17" spans="10:12" ht="24.75" customHeight="1" x14ac:dyDescent="0.25">
      <c r="J17" s="326" t="s">
        <v>235</v>
      </c>
      <c r="K17" s="327"/>
      <c r="L17" s="328"/>
    </row>
    <row r="18" spans="10:12" ht="26.25" x14ac:dyDescent="0.25">
      <c r="J18" s="326" t="s">
        <v>234</v>
      </c>
      <c r="K18" s="327"/>
      <c r="L18" s="328"/>
    </row>
    <row r="19" spans="10:12" ht="26.25" x14ac:dyDescent="0.25">
      <c r="J19" s="171" t="s">
        <v>236</v>
      </c>
      <c r="K19" s="172"/>
      <c r="L19" s="173"/>
    </row>
    <row r="20" spans="10:12" ht="27" thickBot="1" x14ac:dyDescent="0.3">
      <c r="J20" s="323" t="s">
        <v>246</v>
      </c>
      <c r="K20" s="324"/>
      <c r="L20" s="325"/>
    </row>
    <row r="21" spans="10:12" ht="30" customHeight="1" thickBot="1" x14ac:dyDescent="0.3">
      <c r="J21" s="323" t="s">
        <v>247</v>
      </c>
      <c r="K21" s="324"/>
      <c r="L21" s="325"/>
    </row>
    <row r="29" spans="10:12" ht="36" customHeight="1" x14ac:dyDescent="0.25">
      <c r="J29" s="169"/>
      <c r="K29" s="169"/>
      <c r="L29" s="169"/>
    </row>
    <row r="30" spans="10:12" ht="15" customHeight="1" x14ac:dyDescent="0.25">
      <c r="J30" s="169"/>
      <c r="K30" s="169"/>
      <c r="L30" s="169"/>
    </row>
    <row r="31" spans="10:12" ht="15" customHeight="1" x14ac:dyDescent="0.25">
      <c r="J31" s="169"/>
      <c r="K31" s="169"/>
      <c r="L31" s="169"/>
    </row>
    <row r="32" spans="10:12" ht="15" customHeight="1" x14ac:dyDescent="0.25">
      <c r="J32" s="169"/>
      <c r="K32" s="169"/>
      <c r="L32" s="169"/>
    </row>
    <row r="33" ht="15" customHeight="1" x14ac:dyDescent="0.25"/>
  </sheetData>
  <mergeCells count="6">
    <mergeCell ref="J21:L21"/>
    <mergeCell ref="A1:H1"/>
    <mergeCell ref="J20:L20"/>
    <mergeCell ref="J18:L18"/>
    <mergeCell ref="J17:L17"/>
    <mergeCell ref="J15:L16"/>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57A9C-D2DF-4B90-950B-82DCECF680F5}">
  <dimension ref="A1"/>
  <sheetViews>
    <sheetView showGridLines="0" workbookViewId="0">
      <selection activeCell="A40" sqref="A40"/>
    </sheetView>
  </sheetViews>
  <sheetFormatPr defaultRowHeight="15" x14ac:dyDescent="0.25"/>
  <sheetData/>
  <pageMargins left="0.511811024" right="0.511811024" top="0.78740157499999996" bottom="0.78740157499999996" header="0.31496062000000002" footer="0.31496062000000002"/>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19</vt:i4>
      </vt:variant>
    </vt:vector>
  </HeadingPairs>
  <TitlesOfParts>
    <vt:vector size="26" baseType="lpstr">
      <vt:lpstr>Cálculo tenho o Trafo</vt:lpstr>
      <vt:lpstr>Cálculo não tenho o trafo </vt:lpstr>
      <vt:lpstr>Tab AWG</vt:lpstr>
      <vt:lpstr>Carreteis</vt:lpstr>
      <vt:lpstr>Tab carreteis comerciais Destro</vt:lpstr>
      <vt:lpstr>Lâminas trafos Sj</vt:lpstr>
      <vt:lpstr>Círculo OHM</vt:lpstr>
      <vt:lpstr>AreaNucleoSg</vt:lpstr>
      <vt:lpstr>CanalProfParDalton</vt:lpstr>
      <vt:lpstr>CorrentePrim</vt:lpstr>
      <vt:lpstr>CorrenteSec</vt:lpstr>
      <vt:lpstr>CteMag2</vt:lpstr>
      <vt:lpstr>CteMg1</vt:lpstr>
      <vt:lpstr>DEfinicaoAWGprimario</vt:lpstr>
      <vt:lpstr>DEfinicaoAWGsecundario</vt:lpstr>
      <vt:lpstr>EmpilhamentoH</vt:lpstr>
      <vt:lpstr>NucleoLargura</vt:lpstr>
      <vt:lpstr>NumEspirasPrim</vt:lpstr>
      <vt:lpstr>NumEspirasSEc</vt:lpstr>
      <vt:lpstr>PotNominal</vt:lpstr>
      <vt:lpstr>PotPerd22</vt:lpstr>
      <vt:lpstr>SecaoFioPrim</vt:lpstr>
      <vt:lpstr>SEcaoFioSec</vt:lpstr>
      <vt:lpstr>TensaoPrim</vt:lpstr>
      <vt:lpstr>TensaoSec</vt:lpstr>
      <vt:lpstr>VoltsPorVolta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DALTON CAMPOS ROQUE</dc:creator>
  <cp:lastModifiedBy>DALTON CAMPOS ROQUE</cp:lastModifiedBy>
  <cp:lastPrinted>2022-12-22T23:33:42Z</cp:lastPrinted>
  <dcterms:created xsi:type="dcterms:W3CDTF">2022-12-15T21:57:19Z</dcterms:created>
  <dcterms:modified xsi:type="dcterms:W3CDTF">2022-12-30T20:13:12Z</dcterms:modified>
</cp:coreProperties>
</file>